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エコライフ研究所\環境家計簿\開発：省エネ相談\"/>
    </mc:Choice>
  </mc:AlternateContent>
  <workbookProtection workbookPassword="F8BC" lockStructure="1"/>
  <bookViews>
    <workbookView xWindow="1050" yWindow="0" windowWidth="19440" windowHeight="8355"/>
  </bookViews>
  <sheets>
    <sheet name="使い方" sheetId="9" r:id="rId1"/>
    <sheet name="初期設定" sheetId="2" r:id="rId2"/>
    <sheet name="印刷用記入シート" sheetId="8" r:id="rId3"/>
    <sheet name="入力" sheetId="6" r:id="rId4"/>
    <sheet name="診断計算" sheetId="5" state="hidden" r:id="rId5"/>
    <sheet name="診断書" sheetId="4" r:id="rId6"/>
    <sheet name="集計レポート" sheetId="10" r:id="rId7"/>
  </sheets>
  <definedNames>
    <definedName name="_xlnm.Print_Area" localSheetId="5">診断書!$A$1:$J$53</definedName>
  </definedNames>
  <calcPr calcId="152511"/>
</workbook>
</file>

<file path=xl/calcChain.xml><?xml version="1.0" encoding="utf-8"?>
<calcChain xmlns="http://schemas.openxmlformats.org/spreadsheetml/2006/main">
  <c r="E60" i="2" l="1"/>
  <c r="E54" i="2"/>
  <c r="D50" i="5"/>
  <c r="E53" i="2"/>
  <c r="D51" i="5"/>
  <c r="D49" i="5"/>
  <c r="C49" i="5"/>
  <c r="F49" i="5" s="1"/>
  <c r="C50" i="5" s="1"/>
  <c r="F50" i="5" s="1"/>
  <c r="C51" i="5" s="1"/>
  <c r="B92" i="5"/>
  <c r="B91" i="5"/>
  <c r="AD7" i="6"/>
  <c r="D46" i="10" s="1"/>
  <c r="D47" i="10" s="1"/>
  <c r="AE8" i="6"/>
  <c r="D50" i="10"/>
  <c r="AE7" i="6"/>
  <c r="D49" i="10"/>
  <c r="AE12" i="6"/>
  <c r="AE11" i="6"/>
  <c r="AE10" i="6"/>
  <c r="AE9" i="6"/>
  <c r="AE6" i="6"/>
  <c r="AE5" i="6"/>
  <c r="AE4" i="6"/>
  <c r="AD12" i="6"/>
  <c r="AD11" i="6"/>
  <c r="AD10" i="6"/>
  <c r="AD9" i="6"/>
  <c r="AD8" i="6"/>
  <c r="AD6" i="6"/>
  <c r="AD5" i="6"/>
  <c r="AD4" i="6"/>
  <c r="B18" i="6"/>
  <c r="AH18" i="6"/>
  <c r="C12" i="6" s="1"/>
  <c r="A6" i="5" s="1"/>
  <c r="U6" i="5" s="1"/>
  <c r="U7" i="5" s="1"/>
  <c r="E88" i="5"/>
  <c r="D88" i="5"/>
  <c r="C88" i="5"/>
  <c r="B88" i="5"/>
  <c r="B62" i="5"/>
  <c r="I8" i="8"/>
  <c r="G74" i="5"/>
  <c r="G78" i="5"/>
  <c r="D85" i="5"/>
  <c r="E57" i="5"/>
  <c r="C57" i="5"/>
  <c r="D57" i="5"/>
  <c r="E56" i="5"/>
  <c r="C56" i="5"/>
  <c r="D56" i="5"/>
  <c r="E49" i="5"/>
  <c r="E50" i="5"/>
  <c r="E51" i="5"/>
  <c r="AB5" i="5"/>
  <c r="C44" i="10"/>
  <c r="I44" i="10"/>
  <c r="I10" i="10"/>
  <c r="H11" i="6"/>
  <c r="H44" i="10"/>
  <c r="H10" i="6"/>
  <c r="G44" i="10"/>
  <c r="G10" i="10"/>
  <c r="H9" i="6"/>
  <c r="F44" i="10"/>
  <c r="H8" i="6"/>
  <c r="E44" i="10"/>
  <c r="E10" i="10"/>
  <c r="H7" i="6"/>
  <c r="D44" i="10"/>
  <c r="C4" i="6"/>
  <c r="C6" i="10" s="1"/>
  <c r="G4" i="6"/>
  <c r="C10" i="10" s="1"/>
  <c r="D4" i="6"/>
  <c r="C7" i="10"/>
  <c r="E4" i="6"/>
  <c r="C8" i="10"/>
  <c r="E35" i="10"/>
  <c r="F35" i="10"/>
  <c r="I35" i="10"/>
  <c r="N35" i="10"/>
  <c r="G35" i="10"/>
  <c r="E34" i="10"/>
  <c r="I34" i="10"/>
  <c r="N34" i="10"/>
  <c r="F34" i="10"/>
  <c r="G34" i="10"/>
  <c r="E33" i="10"/>
  <c r="F33" i="10"/>
  <c r="I33" i="10"/>
  <c r="N33" i="10"/>
  <c r="G33" i="10"/>
  <c r="E32" i="10"/>
  <c r="I32" i="10"/>
  <c r="N32" i="10"/>
  <c r="F32" i="10"/>
  <c r="G32" i="10"/>
  <c r="E31" i="10"/>
  <c r="F31" i="10"/>
  <c r="I31" i="10"/>
  <c r="M31" i="10"/>
  <c r="G31" i="10"/>
  <c r="E30" i="10"/>
  <c r="I30" i="10"/>
  <c r="M30" i="10"/>
  <c r="F30" i="10"/>
  <c r="G30" i="10"/>
  <c r="E29" i="10"/>
  <c r="F29" i="10"/>
  <c r="I29" i="10"/>
  <c r="M29" i="10"/>
  <c r="G29" i="10"/>
  <c r="E28" i="10"/>
  <c r="I28" i="10"/>
  <c r="L28" i="10"/>
  <c r="F28" i="10"/>
  <c r="G28" i="10"/>
  <c r="E27" i="10"/>
  <c r="F27" i="10"/>
  <c r="I27" i="10"/>
  <c r="L27" i="10"/>
  <c r="G27" i="10"/>
  <c r="E26" i="10"/>
  <c r="I26" i="10"/>
  <c r="L26" i="10"/>
  <c r="F26" i="10"/>
  <c r="G26" i="10"/>
  <c r="E25" i="10"/>
  <c r="F25" i="10"/>
  <c r="I25" i="10"/>
  <c r="K25" i="10"/>
  <c r="G25" i="10"/>
  <c r="E24" i="10"/>
  <c r="I24" i="10"/>
  <c r="K24" i="10"/>
  <c r="F24" i="10"/>
  <c r="G24" i="10"/>
  <c r="E23" i="10"/>
  <c r="F23" i="10"/>
  <c r="I23" i="10"/>
  <c r="K23" i="10"/>
  <c r="G23" i="10"/>
  <c r="E22" i="10"/>
  <c r="I22" i="10"/>
  <c r="K22" i="10"/>
  <c r="F22" i="10"/>
  <c r="G22" i="10"/>
  <c r="E21" i="10"/>
  <c r="F21" i="10"/>
  <c r="I21" i="10"/>
  <c r="K21" i="10"/>
  <c r="G21" i="10"/>
  <c r="E20" i="10"/>
  <c r="I20" i="10"/>
  <c r="J20" i="10"/>
  <c r="F20" i="10"/>
  <c r="G20" i="10"/>
  <c r="E19" i="10"/>
  <c r="F19" i="10"/>
  <c r="I19" i="10"/>
  <c r="J19" i="10"/>
  <c r="G19" i="10"/>
  <c r="E18" i="10"/>
  <c r="I18" i="10"/>
  <c r="J18" i="10"/>
  <c r="F18" i="10"/>
  <c r="G18" i="10"/>
  <c r="E17" i="10"/>
  <c r="F17" i="10"/>
  <c r="I17" i="10"/>
  <c r="J17" i="10"/>
  <c r="G17" i="10"/>
  <c r="E16" i="10"/>
  <c r="I16" i="10"/>
  <c r="J16" i="10"/>
  <c r="J36" i="10"/>
  <c r="I36" i="10"/>
  <c r="F16" i="10"/>
  <c r="G16" i="10"/>
  <c r="N16" i="10"/>
  <c r="N17" i="10"/>
  <c r="N36" i="10"/>
  <c r="I40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T14" i="5"/>
  <c r="M16" i="10"/>
  <c r="M36" i="10"/>
  <c r="I39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32" i="10"/>
  <c r="M33" i="10"/>
  <c r="M34" i="10"/>
  <c r="M35" i="10"/>
  <c r="S14" i="5"/>
  <c r="L16" i="10"/>
  <c r="L36" i="10"/>
  <c r="I38" i="10"/>
  <c r="L17" i="10"/>
  <c r="L18" i="10"/>
  <c r="L19" i="10"/>
  <c r="L20" i="10"/>
  <c r="L21" i="10"/>
  <c r="L22" i="10"/>
  <c r="L23" i="10"/>
  <c r="L24" i="10"/>
  <c r="L25" i="10"/>
  <c r="L29" i="10"/>
  <c r="L30" i="10"/>
  <c r="L31" i="10"/>
  <c r="L32" i="10"/>
  <c r="L33" i="10"/>
  <c r="L34" i="10"/>
  <c r="L35" i="10"/>
  <c r="R14" i="5"/>
  <c r="K16" i="10"/>
  <c r="K36" i="10"/>
  <c r="I37" i="10"/>
  <c r="K17" i="10"/>
  <c r="K18" i="10"/>
  <c r="K19" i="10"/>
  <c r="K20" i="10"/>
  <c r="K26" i="10"/>
  <c r="K27" i="10"/>
  <c r="K28" i="10"/>
  <c r="K29" i="10"/>
  <c r="K30" i="10"/>
  <c r="K31" i="10"/>
  <c r="K32" i="10"/>
  <c r="K33" i="10"/>
  <c r="K34" i="10"/>
  <c r="K35" i="10"/>
  <c r="Q14" i="5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P14" i="5"/>
  <c r="B37" i="10"/>
  <c r="B38" i="10"/>
  <c r="B39" i="10"/>
  <c r="B40" i="10"/>
  <c r="B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G15" i="10"/>
  <c r="F15" i="10"/>
  <c r="E15" i="10"/>
  <c r="G1" i="10"/>
  <c r="A28" i="8"/>
  <c r="B35" i="10"/>
  <c r="A27" i="8"/>
  <c r="B34" i="10"/>
  <c r="A26" i="8"/>
  <c r="B33" i="10"/>
  <c r="A25" i="8"/>
  <c r="B32" i="10"/>
  <c r="A24" i="8"/>
  <c r="B31" i="10"/>
  <c r="A23" i="8"/>
  <c r="B30" i="10"/>
  <c r="A22" i="8"/>
  <c r="B29" i="10"/>
  <c r="A21" i="8"/>
  <c r="B28" i="10"/>
  <c r="A20" i="8"/>
  <c r="B27" i="10"/>
  <c r="A19" i="8"/>
  <c r="B26" i="10"/>
  <c r="A18" i="8"/>
  <c r="B25" i="10"/>
  <c r="A17" i="8"/>
  <c r="B24" i="10"/>
  <c r="A16" i="8"/>
  <c r="B23" i="10"/>
  <c r="A15" i="8"/>
  <c r="B22" i="10"/>
  <c r="A14" i="8"/>
  <c r="B21" i="10"/>
  <c r="A13" i="8"/>
  <c r="B20" i="10"/>
  <c r="A12" i="8"/>
  <c r="B19" i="10"/>
  <c r="A11" i="8"/>
  <c r="B18" i="10"/>
  <c r="A10" i="8"/>
  <c r="B17" i="10"/>
  <c r="A9" i="8"/>
  <c r="B16" i="10"/>
  <c r="A1" i="4"/>
  <c r="AH19" i="6"/>
  <c r="C8" i="5"/>
  <c r="G6" i="4"/>
  <c r="J15" i="6"/>
  <c r="A1" i="8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AH245" i="6"/>
  <c r="AH246" i="6"/>
  <c r="AH247" i="6"/>
  <c r="AH248" i="6"/>
  <c r="D62" i="5"/>
  <c r="E62" i="5"/>
  <c r="C62" i="5"/>
  <c r="A85" i="5"/>
  <c r="G77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E63" i="5"/>
  <c r="D63" i="5"/>
  <c r="F63" i="5"/>
  <c r="E58" i="5"/>
  <c r="D58" i="5"/>
  <c r="C58" i="5"/>
  <c r="B63" i="5"/>
  <c r="B58" i="5"/>
  <c r="B57" i="5"/>
  <c r="B56" i="5"/>
  <c r="B51" i="5"/>
  <c r="B50" i="5"/>
  <c r="B49" i="5"/>
  <c r="J13" i="5"/>
  <c r="K13" i="5"/>
  <c r="L13" i="5"/>
  <c r="M13" i="5"/>
  <c r="N13" i="5"/>
  <c r="L17" i="6"/>
  <c r="J5" i="5"/>
  <c r="O17" i="6"/>
  <c r="M5" i="5"/>
  <c r="AA17" i="6"/>
  <c r="Y5" i="5"/>
  <c r="J17" i="6"/>
  <c r="H5" i="5"/>
  <c r="K17" i="6"/>
  <c r="I5" i="5"/>
  <c r="M17" i="6"/>
  <c r="K5" i="5"/>
  <c r="P17" i="6"/>
  <c r="N5" i="5"/>
  <c r="Q17" i="6"/>
  <c r="O5" i="5"/>
  <c r="R17" i="6"/>
  <c r="P5" i="5"/>
  <c r="S17" i="6"/>
  <c r="Q5" i="5"/>
  <c r="T17" i="6"/>
  <c r="R5" i="5"/>
  <c r="U17" i="6"/>
  <c r="S5" i="5"/>
  <c r="V17" i="6"/>
  <c r="T5" i="5"/>
  <c r="W17" i="6"/>
  <c r="U5" i="5"/>
  <c r="X17" i="6"/>
  <c r="V5" i="5"/>
  <c r="Y17" i="6"/>
  <c r="W5" i="5"/>
  <c r="Z17" i="6"/>
  <c r="X5" i="5"/>
  <c r="AB17" i="6"/>
  <c r="Z5" i="5"/>
  <c r="AC17" i="6"/>
  <c r="AA5" i="5"/>
  <c r="N17" i="6"/>
  <c r="L5" i="5"/>
  <c r="H1" i="4"/>
  <c r="E6" i="6"/>
  <c r="E5" i="6"/>
  <c r="C6" i="6"/>
  <c r="AH500" i="6"/>
  <c r="AH499" i="6"/>
  <c r="AH498" i="6"/>
  <c r="AH497" i="6"/>
  <c r="AH496" i="6"/>
  <c r="AH495" i="6"/>
  <c r="AH494" i="6"/>
  <c r="AH493" i="6"/>
  <c r="AH492" i="6"/>
  <c r="AH491" i="6"/>
  <c r="AH490" i="6"/>
  <c r="AH489" i="6"/>
  <c r="AH488" i="6"/>
  <c r="AH487" i="6"/>
  <c r="AH486" i="6"/>
  <c r="AH485" i="6"/>
  <c r="AH484" i="6"/>
  <c r="AH483" i="6"/>
  <c r="AH482" i="6"/>
  <c r="AH481" i="6"/>
  <c r="AH480" i="6"/>
  <c r="AH479" i="6"/>
  <c r="AH478" i="6"/>
  <c r="AH477" i="6"/>
  <c r="AH476" i="6"/>
  <c r="AH475" i="6"/>
  <c r="AH474" i="6"/>
  <c r="AH473" i="6"/>
  <c r="AH472" i="6"/>
  <c r="AH471" i="6"/>
  <c r="AH470" i="6"/>
  <c r="AH469" i="6"/>
  <c r="AH468" i="6"/>
  <c r="AH467" i="6"/>
  <c r="AH466" i="6"/>
  <c r="AH465" i="6"/>
  <c r="AH464" i="6"/>
  <c r="AH463" i="6"/>
  <c r="AH462" i="6"/>
  <c r="AH461" i="6"/>
  <c r="AH460" i="6"/>
  <c r="AH459" i="6"/>
  <c r="AH458" i="6"/>
  <c r="AH457" i="6"/>
  <c r="AH456" i="6"/>
  <c r="AH455" i="6"/>
  <c r="AH454" i="6"/>
  <c r="AH453" i="6"/>
  <c r="AH452" i="6"/>
  <c r="AH451" i="6"/>
  <c r="AH450" i="6"/>
  <c r="AH449" i="6"/>
  <c r="AH448" i="6"/>
  <c r="AH447" i="6"/>
  <c r="AH446" i="6"/>
  <c r="AH445" i="6"/>
  <c r="AH444" i="6"/>
  <c r="AH443" i="6"/>
  <c r="AH442" i="6"/>
  <c r="AH441" i="6"/>
  <c r="AH440" i="6"/>
  <c r="AH439" i="6"/>
  <c r="AH438" i="6"/>
  <c r="AH437" i="6"/>
  <c r="AH436" i="6"/>
  <c r="AH435" i="6"/>
  <c r="AH434" i="6"/>
  <c r="AH433" i="6"/>
  <c r="AH432" i="6"/>
  <c r="AH431" i="6"/>
  <c r="AH430" i="6"/>
  <c r="AH429" i="6"/>
  <c r="AH428" i="6"/>
  <c r="AH427" i="6"/>
  <c r="AH426" i="6"/>
  <c r="AH425" i="6"/>
  <c r="AH424" i="6"/>
  <c r="AH423" i="6"/>
  <c r="AH422" i="6"/>
  <c r="AH421" i="6"/>
  <c r="AH420" i="6"/>
  <c r="AH419" i="6"/>
  <c r="AH418" i="6"/>
  <c r="AH417" i="6"/>
  <c r="AH416" i="6"/>
  <c r="AH415" i="6"/>
  <c r="AH414" i="6"/>
  <c r="AH413" i="6"/>
  <c r="AH412" i="6"/>
  <c r="AH411" i="6"/>
  <c r="AH410" i="6"/>
  <c r="AH409" i="6"/>
  <c r="AH408" i="6"/>
  <c r="AH407" i="6"/>
  <c r="AH406" i="6"/>
  <c r="AH405" i="6"/>
  <c r="AH404" i="6"/>
  <c r="AH403" i="6"/>
  <c r="AH402" i="6"/>
  <c r="AH401" i="6"/>
  <c r="AH400" i="6"/>
  <c r="AH399" i="6"/>
  <c r="AH398" i="6"/>
  <c r="AH397" i="6"/>
  <c r="AH396" i="6"/>
  <c r="AH395" i="6"/>
  <c r="AH394" i="6"/>
  <c r="AH393" i="6"/>
  <c r="AH392" i="6"/>
  <c r="AH391" i="6"/>
  <c r="AH390" i="6"/>
  <c r="AH389" i="6"/>
  <c r="AH388" i="6"/>
  <c r="AH387" i="6"/>
  <c r="AH386" i="6"/>
  <c r="AH385" i="6"/>
  <c r="AH384" i="6"/>
  <c r="AH383" i="6"/>
  <c r="AH382" i="6"/>
  <c r="AH381" i="6"/>
  <c r="AH380" i="6"/>
  <c r="AH379" i="6"/>
  <c r="AH378" i="6"/>
  <c r="AH377" i="6"/>
  <c r="AH376" i="6"/>
  <c r="AH375" i="6"/>
  <c r="AH374" i="6"/>
  <c r="AH373" i="6"/>
  <c r="AH372" i="6"/>
  <c r="AH371" i="6"/>
  <c r="AH370" i="6"/>
  <c r="AH369" i="6"/>
  <c r="AH368" i="6"/>
  <c r="AH367" i="6"/>
  <c r="AH366" i="6"/>
  <c r="AH365" i="6"/>
  <c r="AH364" i="6"/>
  <c r="AH363" i="6"/>
  <c r="AH362" i="6"/>
  <c r="AH361" i="6"/>
  <c r="AH360" i="6"/>
  <c r="AH359" i="6"/>
  <c r="AH358" i="6"/>
  <c r="AH357" i="6"/>
  <c r="AH356" i="6"/>
  <c r="AH355" i="6"/>
  <c r="AH354" i="6"/>
  <c r="AH353" i="6"/>
  <c r="AH352" i="6"/>
  <c r="AH351" i="6"/>
  <c r="AH350" i="6"/>
  <c r="AH349" i="6"/>
  <c r="AH348" i="6"/>
  <c r="AH347" i="6"/>
  <c r="AH346" i="6"/>
  <c r="AH345" i="6"/>
  <c r="AH344" i="6"/>
  <c r="AH343" i="6"/>
  <c r="AH342" i="6"/>
  <c r="AH341" i="6"/>
  <c r="AH340" i="6"/>
  <c r="AH339" i="6"/>
  <c r="AH338" i="6"/>
  <c r="AH337" i="6"/>
  <c r="AH336" i="6"/>
  <c r="AH335" i="6"/>
  <c r="AH334" i="6"/>
  <c r="AH333" i="6"/>
  <c r="AH332" i="6"/>
  <c r="AH331" i="6"/>
  <c r="AH330" i="6"/>
  <c r="AH329" i="6"/>
  <c r="AH328" i="6"/>
  <c r="AH327" i="6"/>
  <c r="AH326" i="6"/>
  <c r="AH325" i="6"/>
  <c r="AH324" i="6"/>
  <c r="AH323" i="6"/>
  <c r="AH322" i="6"/>
  <c r="AH321" i="6"/>
  <c r="AH320" i="6"/>
  <c r="AH319" i="6"/>
  <c r="AH318" i="6"/>
  <c r="AH317" i="6"/>
  <c r="AH316" i="6"/>
  <c r="AH315" i="6"/>
  <c r="AH314" i="6"/>
  <c r="AH313" i="6"/>
  <c r="AH312" i="6"/>
  <c r="AH311" i="6"/>
  <c r="AH310" i="6"/>
  <c r="AH309" i="6"/>
  <c r="AH308" i="6"/>
  <c r="AH307" i="6"/>
  <c r="AH306" i="6"/>
  <c r="AH305" i="6"/>
  <c r="AH304" i="6"/>
  <c r="AH303" i="6"/>
  <c r="AH302" i="6"/>
  <c r="AH301" i="6"/>
  <c r="AH300" i="6"/>
  <c r="AH299" i="6"/>
  <c r="AH298" i="6"/>
  <c r="AH297" i="6"/>
  <c r="AH296" i="6"/>
  <c r="AH295" i="6"/>
  <c r="AH294" i="6"/>
  <c r="AH293" i="6"/>
  <c r="AH292" i="6"/>
  <c r="AH291" i="6"/>
  <c r="AH290" i="6"/>
  <c r="AH289" i="6"/>
  <c r="AH288" i="6"/>
  <c r="AH287" i="6"/>
  <c r="AH286" i="6"/>
  <c r="AH285" i="6"/>
  <c r="AH284" i="6"/>
  <c r="AH283" i="6"/>
  <c r="AH282" i="6"/>
  <c r="AH281" i="6"/>
  <c r="AH280" i="6"/>
  <c r="AH279" i="6"/>
  <c r="AH278" i="6"/>
  <c r="AH277" i="6"/>
  <c r="AH276" i="6"/>
  <c r="AH275" i="6"/>
  <c r="AH274" i="6"/>
  <c r="AH273" i="6"/>
  <c r="AH272" i="6"/>
  <c r="AH271" i="6"/>
  <c r="AH270" i="6"/>
  <c r="AH269" i="6"/>
  <c r="AH268" i="6"/>
  <c r="AH267" i="6"/>
  <c r="AH266" i="6"/>
  <c r="AH265" i="6"/>
  <c r="AH264" i="6"/>
  <c r="AH263" i="6"/>
  <c r="AH262" i="6"/>
  <c r="AH261" i="6"/>
  <c r="AH260" i="6"/>
  <c r="AH259" i="6"/>
  <c r="AH258" i="6"/>
  <c r="AH257" i="6"/>
  <c r="AH256" i="6"/>
  <c r="AH255" i="6"/>
  <c r="AH254" i="6"/>
  <c r="AH253" i="6"/>
  <c r="AH252" i="6"/>
  <c r="AH251" i="6"/>
  <c r="AH250" i="6"/>
  <c r="AH249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12" i="6"/>
  <c r="J11" i="6"/>
  <c r="J10" i="6"/>
  <c r="J9" i="6"/>
  <c r="J8" i="6"/>
  <c r="J7" i="6"/>
  <c r="J6" i="6"/>
  <c r="J5" i="6"/>
  <c r="J4" i="6"/>
  <c r="G6" i="6"/>
  <c r="G5" i="6"/>
  <c r="F6" i="6"/>
  <c r="F5" i="6"/>
  <c r="F4" i="6"/>
  <c r="C9" i="10" s="1"/>
  <c r="D6" i="6"/>
  <c r="D5" i="6"/>
  <c r="C5" i="6"/>
  <c r="H12" i="6"/>
  <c r="H6" i="6"/>
  <c r="H5" i="6"/>
  <c r="H4" i="6"/>
  <c r="C63" i="5"/>
  <c r="F57" i="5"/>
  <c r="G76" i="5"/>
  <c r="C85" i="5"/>
  <c r="C20" i="5"/>
  <c r="G79" i="5"/>
  <c r="E85" i="5"/>
  <c r="E18" i="5"/>
  <c r="G75" i="5"/>
  <c r="B85" i="5"/>
  <c r="B20" i="5"/>
  <c r="F56" i="5"/>
  <c r="B18" i="5"/>
  <c r="B16" i="5"/>
  <c r="B15" i="5"/>
  <c r="E19" i="5"/>
  <c r="E20" i="5"/>
  <c r="E16" i="5"/>
  <c r="C16" i="5"/>
  <c r="C15" i="5"/>
  <c r="C17" i="5"/>
  <c r="E7" i="10"/>
  <c r="F6" i="10"/>
  <c r="F10" i="10"/>
  <c r="G7" i="10"/>
  <c r="G9" i="10"/>
  <c r="H8" i="10"/>
  <c r="I7" i="10"/>
  <c r="I9" i="10"/>
  <c r="D7" i="10"/>
  <c r="E6" i="10"/>
  <c r="E8" i="10"/>
  <c r="G6" i="10"/>
  <c r="G8" i="10"/>
  <c r="H7" i="10"/>
  <c r="I6" i="10"/>
  <c r="I8" i="10"/>
  <c r="F62" i="5"/>
  <c r="F58" i="5"/>
  <c r="F51" i="5"/>
  <c r="D6" i="10"/>
  <c r="D10" i="10"/>
  <c r="D9" i="10"/>
  <c r="D8" i="10"/>
  <c r="H6" i="10"/>
  <c r="H10" i="10"/>
  <c r="H9" i="10"/>
  <c r="F8" i="10"/>
  <c r="F7" i="10"/>
  <c r="F9" i="10"/>
  <c r="D19" i="5"/>
  <c r="D20" i="5"/>
  <c r="D17" i="5"/>
  <c r="D15" i="5"/>
  <c r="D16" i="5"/>
  <c r="D18" i="5"/>
  <c r="E9" i="10"/>
  <c r="C18" i="5"/>
  <c r="C19" i="5"/>
  <c r="E17" i="5"/>
  <c r="E15" i="5"/>
  <c r="B19" i="5"/>
  <c r="B17" i="5"/>
  <c r="E11" i="10" l="1"/>
  <c r="F11" i="10"/>
  <c r="D6" i="5"/>
  <c r="D7" i="5" s="1"/>
  <c r="C25" i="5" s="1"/>
  <c r="C67" i="5" s="1"/>
  <c r="Y6" i="5"/>
  <c r="Y7" i="5" s="1"/>
  <c r="C11" i="10"/>
  <c r="N6" i="5"/>
  <c r="N7" i="5" s="1"/>
  <c r="I6" i="5"/>
  <c r="I7" i="5" s="1"/>
  <c r="G11" i="10"/>
  <c r="H11" i="10"/>
  <c r="D11" i="10"/>
  <c r="Q6" i="5"/>
  <c r="Q7" i="5" s="1"/>
  <c r="I11" i="10"/>
  <c r="C6" i="5"/>
  <c r="C7" i="5" s="1"/>
  <c r="X6" i="5"/>
  <c r="X7" i="5" s="1"/>
  <c r="H62" i="5"/>
  <c r="H64" i="5" s="1"/>
  <c r="V6" i="5"/>
  <c r="V7" i="5" s="1"/>
  <c r="M6" i="5"/>
  <c r="M7" i="5" s="1"/>
  <c r="G6" i="5"/>
  <c r="G7" i="5" s="1"/>
  <c r="P6" i="5"/>
  <c r="P7" i="5" s="1"/>
  <c r="AD6" i="5"/>
  <c r="AD7" i="5" s="1"/>
  <c r="T6" i="5"/>
  <c r="T7" i="5" s="1"/>
  <c r="F6" i="5"/>
  <c r="F7" i="5" s="1"/>
  <c r="E26" i="5" s="1"/>
  <c r="AB6" i="5"/>
  <c r="E6" i="5"/>
  <c r="E7" i="5" s="1"/>
  <c r="D26" i="5" s="1"/>
  <c r="AA6" i="5"/>
  <c r="AA7" i="5" s="1"/>
  <c r="W6" i="5"/>
  <c r="W7" i="5" s="1"/>
  <c r="S6" i="5"/>
  <c r="S7" i="5" s="1"/>
  <c r="O6" i="5"/>
  <c r="O7" i="5" s="1"/>
  <c r="K6" i="5"/>
  <c r="K7" i="5" s="1"/>
  <c r="AC6" i="5"/>
  <c r="AC7" i="5" s="1"/>
  <c r="I3" i="4" s="1"/>
  <c r="J6" i="5"/>
  <c r="J7" i="5" s="1"/>
  <c r="R6" i="5"/>
  <c r="R7" i="5" s="1"/>
  <c r="Z6" i="5"/>
  <c r="Z7" i="5" s="1"/>
  <c r="B6" i="5"/>
  <c r="B7" i="5" s="1"/>
  <c r="L6" i="5"/>
  <c r="L7" i="5" s="1"/>
  <c r="H6" i="5"/>
  <c r="H7" i="5" s="1"/>
  <c r="H63" i="5" l="1"/>
  <c r="C68" i="5"/>
  <c r="H51" i="5"/>
  <c r="H49" i="5"/>
  <c r="H50" i="5"/>
  <c r="B26" i="5"/>
  <c r="E68" i="5"/>
  <c r="B99" i="5"/>
  <c r="B100" i="5" s="1"/>
  <c r="F39" i="4"/>
  <c r="D27" i="5"/>
  <c r="D69" i="5" s="1"/>
  <c r="B93" i="5"/>
  <c r="B94" i="5" s="1"/>
  <c r="B95" i="5" s="1"/>
  <c r="B96" i="5" s="1"/>
  <c r="B97" i="5" s="1"/>
  <c r="E27" i="5"/>
  <c r="E69" i="5" s="1"/>
  <c r="A27" i="5"/>
  <c r="G24" i="4" s="1"/>
  <c r="H58" i="5"/>
  <c r="H59" i="5"/>
  <c r="C26" i="5"/>
  <c r="H56" i="5"/>
  <c r="H57" i="5"/>
  <c r="K14" i="5"/>
  <c r="J14" i="5"/>
  <c r="M14" i="5"/>
  <c r="L14" i="5"/>
  <c r="N14" i="5"/>
  <c r="D68" i="5"/>
  <c r="C27" i="5"/>
  <c r="C69" i="5" s="1"/>
  <c r="D28" i="5" l="1"/>
  <c r="B27" i="5"/>
  <c r="B69" i="5" s="1"/>
  <c r="F69" i="5" s="1"/>
  <c r="O15" i="5"/>
  <c r="J15" i="5" s="1"/>
  <c r="J17" i="5"/>
  <c r="J16" i="5"/>
  <c r="B28" i="5"/>
  <c r="K15" i="5"/>
  <c r="K17" i="5"/>
  <c r="K16" i="5"/>
  <c r="C28" i="5"/>
  <c r="L17" i="5"/>
  <c r="L16" i="5"/>
  <c r="E28" i="5"/>
  <c r="H52" i="5"/>
  <c r="B68" i="5" s="1"/>
  <c r="N17" i="5"/>
  <c r="N16" i="5"/>
  <c r="D29" i="5"/>
  <c r="I29" i="4" s="1"/>
  <c r="H29" i="4"/>
  <c r="M17" i="5"/>
  <c r="M16" i="5"/>
  <c r="N15" i="5" l="1"/>
  <c r="L15" i="5"/>
  <c r="M15" i="5"/>
  <c r="P15" i="5"/>
  <c r="R20" i="5" s="1"/>
  <c r="F68" i="5"/>
  <c r="B70" i="5" s="1"/>
  <c r="C29" i="5"/>
  <c r="I28" i="4" s="1"/>
  <c r="H28" i="4"/>
  <c r="B29" i="5"/>
  <c r="I27" i="4" s="1"/>
  <c r="H27" i="4"/>
  <c r="E29" i="5"/>
  <c r="I30" i="4" s="1"/>
  <c r="H30" i="4"/>
  <c r="P17" i="5"/>
  <c r="P16" i="5"/>
  <c r="G11" i="4" l="1"/>
  <c r="N20" i="5"/>
  <c r="J20" i="5"/>
  <c r="P20" i="5"/>
  <c r="AA20" i="5"/>
  <c r="K20" i="5"/>
  <c r="Y20" i="5"/>
  <c r="I20" i="5"/>
  <c r="Z20" i="5"/>
  <c r="X20" i="5"/>
  <c r="H20" i="5"/>
  <c r="V20" i="5"/>
  <c r="W20" i="5"/>
  <c r="U20" i="5"/>
  <c r="S20" i="5"/>
  <c r="O20" i="5"/>
  <c r="M20" i="5"/>
  <c r="L20" i="5"/>
  <c r="Q20" i="5"/>
  <c r="T20" i="5"/>
  <c r="H37" i="4"/>
  <c r="H38" i="4" s="1"/>
  <c r="C70" i="5"/>
  <c r="D70" i="5"/>
  <c r="E70" i="5"/>
  <c r="H39" i="4"/>
  <c r="AB21" i="5" l="1"/>
  <c r="T21" i="5" s="1"/>
  <c r="T23" i="5" s="1"/>
  <c r="F70" i="5"/>
  <c r="B71" i="5" s="1"/>
  <c r="I21" i="5"/>
  <c r="I23" i="5" s="1"/>
  <c r="X21" i="5"/>
  <c r="X23" i="5" s="1"/>
  <c r="U21" i="5" l="1"/>
  <c r="U23" i="5" s="1"/>
  <c r="E71" i="5"/>
  <c r="N21" i="5"/>
  <c r="N23" i="5" s="1"/>
  <c r="Z21" i="5"/>
  <c r="Z23" i="5" s="1"/>
  <c r="O21" i="5"/>
  <c r="O23" i="5" s="1"/>
  <c r="P21" i="5"/>
  <c r="P23" i="5" s="1"/>
  <c r="R21" i="5"/>
  <c r="R23" i="5" s="1"/>
  <c r="AA21" i="5"/>
  <c r="AA23" i="5" s="1"/>
  <c r="M21" i="5"/>
  <c r="M23" i="5" s="1"/>
  <c r="W21" i="5"/>
  <c r="W23" i="5" s="1"/>
  <c r="Q21" i="5"/>
  <c r="Q23" i="5" s="1"/>
  <c r="V21" i="5"/>
  <c r="V23" i="5" s="1"/>
  <c r="Y21" i="5"/>
  <c r="Y23" i="5" s="1"/>
  <c r="S21" i="5"/>
  <c r="S23" i="5" s="1"/>
  <c r="K21" i="5"/>
  <c r="K23" i="5" s="1"/>
  <c r="J21" i="5"/>
  <c r="J23" i="5" s="1"/>
  <c r="L21" i="5"/>
  <c r="L23" i="5" s="1"/>
  <c r="H21" i="5"/>
  <c r="H23" i="5" s="1"/>
  <c r="C71" i="5"/>
  <c r="D71" i="5"/>
  <c r="AC21" i="5" l="1"/>
  <c r="F71" i="5"/>
  <c r="G41" i="4" s="1"/>
  <c r="AA24" i="5"/>
  <c r="G24" i="5" s="1"/>
  <c r="V24" i="5" l="1"/>
  <c r="S24" i="5"/>
  <c r="W24" i="5"/>
  <c r="K24" i="5"/>
  <c r="T24" i="5"/>
  <c r="Z24" i="5"/>
  <c r="M24" i="5"/>
  <c r="Y24" i="5"/>
  <c r="X24" i="5"/>
  <c r="U24" i="5"/>
  <c r="H24" i="5"/>
  <c r="R24" i="5"/>
  <c r="P24" i="5"/>
  <c r="Q24" i="5"/>
  <c r="N24" i="5"/>
  <c r="J24" i="5"/>
  <c r="L24" i="5"/>
  <c r="O24" i="5"/>
  <c r="I24" i="5"/>
  <c r="AB24" i="5" l="1"/>
  <c r="G15" i="4" s="1"/>
</calcChain>
</file>

<file path=xl/comments1.xml><?xml version="1.0" encoding="utf-8"?>
<comments xmlns="http://schemas.openxmlformats.org/spreadsheetml/2006/main">
  <authors>
    <author>鈴木靖文</author>
  </authors>
  <commentLis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鈴木靖文:</t>
        </r>
        <r>
          <rPr>
            <sz val="9"/>
            <color indexed="81"/>
            <rFont val="ＭＳ Ｐゴシック"/>
            <family val="3"/>
            <charset val="128"/>
          </rPr>
          <t xml:space="preserve">
　たとえば「車のアイドリングを止める」など、「持っていない・関係ない」場合に「できている」とみなせる場合には、ここに1を記入する。
　ここを空白にすると、「持っていない・関係ない」場合は評価に含めない。</t>
        </r>
      </text>
    </comment>
  </commentList>
</comments>
</file>

<file path=xl/sharedStrings.xml><?xml version="1.0" encoding="utf-8"?>
<sst xmlns="http://schemas.openxmlformats.org/spreadsheetml/2006/main" count="475" uniqueCount="366">
  <si>
    <t>家族人数</t>
    <rPh sb="0" eb="2">
      <t>カゾク</t>
    </rPh>
    <rPh sb="2" eb="4">
      <t>ニンズウ</t>
    </rPh>
    <phoneticPr fontId="3"/>
  </si>
  <si>
    <t>電気代</t>
    <rPh sb="0" eb="3">
      <t>デンキダイ</t>
    </rPh>
    <phoneticPr fontId="3"/>
  </si>
  <si>
    <t>灯油代</t>
    <rPh sb="0" eb="2">
      <t>トウユ</t>
    </rPh>
    <rPh sb="2" eb="3">
      <t>ダイ</t>
    </rPh>
    <phoneticPr fontId="3"/>
  </si>
  <si>
    <t>ガソリン代</t>
    <rPh sb="4" eb="5">
      <t>ダイ</t>
    </rPh>
    <phoneticPr fontId="3"/>
  </si>
  <si>
    <t>評価軸</t>
    <rPh sb="0" eb="2">
      <t>ヒョウカ</t>
    </rPh>
    <rPh sb="2" eb="3">
      <t>ジク</t>
    </rPh>
    <phoneticPr fontId="3"/>
  </si>
  <si>
    <t>プログラム名</t>
    <rPh sb="5" eb="6">
      <t>メイ</t>
    </rPh>
    <phoneticPr fontId="3"/>
  </si>
  <si>
    <t>（１）プログラム設定</t>
    <rPh sb="8" eb="10">
      <t>セッテイ</t>
    </rPh>
    <phoneticPr fontId="3"/>
  </si>
  <si>
    <t>取組番号</t>
    <rPh sb="0" eb="2">
      <t>トリクミ</t>
    </rPh>
    <rPh sb="2" eb="4">
      <t>バンゴウ</t>
    </rPh>
    <phoneticPr fontId="3"/>
  </si>
  <si>
    <t>取り組み名</t>
    <rPh sb="0" eb="1">
      <t>ト</t>
    </rPh>
    <rPh sb="2" eb="3">
      <t>ク</t>
    </rPh>
    <rPh sb="4" eb="5">
      <t>メイ</t>
    </rPh>
    <phoneticPr fontId="3"/>
  </si>
  <si>
    <t>評価軸番号</t>
    <rPh sb="0" eb="2">
      <t>ヒョウカ</t>
    </rPh>
    <rPh sb="2" eb="3">
      <t>ジク</t>
    </rPh>
    <rPh sb="3" eb="5">
      <t>バンゴウ</t>
    </rPh>
    <phoneticPr fontId="3"/>
  </si>
  <si>
    <t>ID</t>
    <phoneticPr fontId="3"/>
  </si>
  <si>
    <t>平均値</t>
    <rPh sb="0" eb="3">
      <t>ヘイキンチ</t>
    </rPh>
    <phoneticPr fontId="3"/>
  </si>
  <si>
    <t>最大値</t>
    <rPh sb="0" eb="2">
      <t>サイダイ</t>
    </rPh>
    <rPh sb="2" eb="3">
      <t>アタイ</t>
    </rPh>
    <phoneticPr fontId="3"/>
  </si>
  <si>
    <t>最小値</t>
    <rPh sb="0" eb="3">
      <t>サイショウチ</t>
    </rPh>
    <phoneticPr fontId="3"/>
  </si>
  <si>
    <t>記入数</t>
    <rPh sb="0" eb="2">
      <t>キニュウ</t>
    </rPh>
    <rPh sb="2" eb="3">
      <t>スウ</t>
    </rPh>
    <phoneticPr fontId="3"/>
  </si>
  <si>
    <t>時刻</t>
    <rPh sb="0" eb="2">
      <t>ジコク</t>
    </rPh>
    <phoneticPr fontId="3"/>
  </si>
  <si>
    <t>CTRLを押しながら":"（コロン）</t>
    <rPh sb="5" eb="6">
      <t>オ</t>
    </rPh>
    <phoneticPr fontId="3"/>
  </si>
  <si>
    <t>1ヶ月の光熱費・ガソリン代(円）</t>
    <rPh sb="2" eb="3">
      <t>ゲツ</t>
    </rPh>
    <rPh sb="4" eb="7">
      <t>コウネツヒ</t>
    </rPh>
    <rPh sb="12" eb="13">
      <t>ダイ</t>
    </rPh>
    <rPh sb="14" eb="15">
      <t>エン</t>
    </rPh>
    <phoneticPr fontId="3"/>
  </si>
  <si>
    <t>数値を入力します</t>
    <rPh sb="0" eb="2">
      <t>スウチ</t>
    </rPh>
    <rPh sb="3" eb="5">
      <t>ニュウリョク</t>
    </rPh>
    <phoneticPr fontId="3"/>
  </si>
  <si>
    <t>記入</t>
    <rPh sb="0" eb="2">
      <t>キニュウ</t>
    </rPh>
    <phoneticPr fontId="3"/>
  </si>
  <si>
    <t>指定呼出ID</t>
    <rPh sb="0" eb="2">
      <t>シテイ</t>
    </rPh>
    <rPh sb="2" eb="3">
      <t>ヨ</t>
    </rPh>
    <rPh sb="3" eb="4">
      <t>ダ</t>
    </rPh>
    <phoneticPr fontId="3"/>
  </si>
  <si>
    <t>診断書ID</t>
    <rPh sb="0" eb="3">
      <t>シンダンショ</t>
    </rPh>
    <phoneticPr fontId="3"/>
  </si>
  <si>
    <t>診断モード</t>
    <rPh sb="0" eb="2">
      <t>シンダン</t>
    </rPh>
    <phoneticPr fontId="3"/>
  </si>
  <si>
    <t>（３）入力欄</t>
    <rPh sb="3" eb="5">
      <t>ニュウリョク</t>
    </rPh>
    <rPh sb="5" eb="6">
      <t>ラン</t>
    </rPh>
    <phoneticPr fontId="3"/>
  </si>
  <si>
    <t>（１）集計欄</t>
    <rPh sb="3" eb="5">
      <t>シュウケイ</t>
    </rPh>
    <rPh sb="5" eb="6">
      <t>ラン</t>
    </rPh>
    <phoneticPr fontId="3"/>
  </si>
  <si>
    <t>エコライフチェック記入シート</t>
    <rPh sb="9" eb="11">
      <t>キニュウ</t>
    </rPh>
    <phoneticPr fontId="3"/>
  </si>
  <si>
    <t>電気</t>
    <rPh sb="0" eb="2">
      <t>デンキ</t>
    </rPh>
    <phoneticPr fontId="3"/>
  </si>
  <si>
    <t>ガス</t>
    <phoneticPr fontId="3"/>
  </si>
  <si>
    <t>灯油</t>
    <rPh sb="0" eb="2">
      <t>トウユ</t>
    </rPh>
    <phoneticPr fontId="3"/>
  </si>
  <si>
    <t>ガソリン</t>
    <phoneticPr fontId="3"/>
  </si>
  <si>
    <t>エコライフ診断書</t>
    <rPh sb="5" eb="8">
      <t>シンダンショ</t>
    </rPh>
    <phoneticPr fontId="3"/>
  </si>
  <si>
    <t>評価</t>
    <rPh sb="0" eb="2">
      <t>ヒョウカ</t>
    </rPh>
    <phoneticPr fontId="3"/>
  </si>
  <si>
    <t>標準の</t>
    <rPh sb="0" eb="2">
      <t>ヒョウジュン</t>
    </rPh>
    <phoneticPr fontId="3"/>
  </si>
  <si>
    <t>【１】エコライフの取り組み度</t>
    <rPh sb="9" eb="10">
      <t>ト</t>
    </rPh>
    <rPh sb="11" eb="12">
      <t>ク</t>
    </rPh>
    <rPh sb="13" eb="14">
      <t>ド</t>
    </rPh>
    <phoneticPr fontId="3"/>
  </si>
  <si>
    <t>ガソリン</t>
    <phoneticPr fontId="3"/>
  </si>
  <si>
    <t>【３】二酸化炭素排出量</t>
    <rPh sb="3" eb="6">
      <t>ニサンカ</t>
    </rPh>
    <rPh sb="6" eb="8">
      <t>タンソ</t>
    </rPh>
    <rPh sb="8" eb="10">
      <t>ハイシュツ</t>
    </rPh>
    <rPh sb="10" eb="11">
      <t>リョウ</t>
    </rPh>
    <phoneticPr fontId="3"/>
  </si>
  <si>
    <t>あなたの家庭の1ヶ月の生活で出てくる二酸化炭素は</t>
    <rPh sb="4" eb="6">
      <t>カテイ</t>
    </rPh>
    <rPh sb="9" eb="10">
      <t>ゲツ</t>
    </rPh>
    <rPh sb="11" eb="13">
      <t>セイカツ</t>
    </rPh>
    <rPh sb="14" eb="15">
      <t>デ</t>
    </rPh>
    <rPh sb="18" eb="21">
      <t>ニサンカ</t>
    </rPh>
    <rPh sb="21" eb="23">
      <t>タンソ</t>
    </rPh>
    <phoneticPr fontId="3"/>
  </si>
  <si>
    <t>重さは</t>
    <rPh sb="0" eb="1">
      <t>オモ</t>
    </rPh>
    <phoneticPr fontId="3"/>
  </si>
  <si>
    <t>本分</t>
    <rPh sb="0" eb="1">
      <t>ホン</t>
    </rPh>
    <rPh sb="1" eb="2">
      <t>ブン</t>
    </rPh>
    <phoneticPr fontId="3"/>
  </si>
  <si>
    <t>kg</t>
    <phoneticPr fontId="3"/>
  </si>
  <si>
    <t>2Lペットボトル</t>
    <phoneticPr fontId="3"/>
  </si>
  <si>
    <t>倍</t>
    <rPh sb="0" eb="1">
      <t>バイ</t>
    </rPh>
    <phoneticPr fontId="3"/>
  </si>
  <si>
    <t>エコライフチェック・初期条件設定シート</t>
    <rPh sb="10" eb="12">
      <t>ショキ</t>
    </rPh>
    <rPh sb="12" eb="14">
      <t>ジョウケン</t>
    </rPh>
    <rPh sb="14" eb="16">
      <t>セッテイ</t>
    </rPh>
    <phoneticPr fontId="3"/>
  </si>
  <si>
    <t>数値</t>
    <rPh sb="0" eb="2">
      <t>スウチ</t>
    </rPh>
    <phoneticPr fontId="3"/>
  </si>
  <si>
    <t>　二酸化炭素は、地球温暖化の大きな原因です。現在もすでに、世界中で氷河が溶けたり、海面が上昇する現象が起こっています。将来の子どもたちのためにも、少しでも排出量を減らしましょう。</t>
    <rPh sb="1" eb="4">
      <t>ニサンカ</t>
    </rPh>
    <rPh sb="4" eb="6">
      <t>タンソ</t>
    </rPh>
    <rPh sb="8" eb="10">
      <t>チキュウ</t>
    </rPh>
    <rPh sb="10" eb="13">
      <t>オンダンカ</t>
    </rPh>
    <rPh sb="14" eb="15">
      <t>オオ</t>
    </rPh>
    <rPh sb="17" eb="19">
      <t>ゲンイン</t>
    </rPh>
    <rPh sb="22" eb="24">
      <t>ゲンザイ</t>
    </rPh>
    <rPh sb="29" eb="31">
      <t>セカイ</t>
    </rPh>
    <rPh sb="31" eb="32">
      <t>ジュウ</t>
    </rPh>
    <rPh sb="33" eb="35">
      <t>ヒョウガ</t>
    </rPh>
    <rPh sb="36" eb="37">
      <t>ト</t>
    </rPh>
    <rPh sb="41" eb="43">
      <t>カイメン</t>
    </rPh>
    <rPh sb="44" eb="46">
      <t>ジョウショウ</t>
    </rPh>
    <rPh sb="48" eb="50">
      <t>ゲンショウ</t>
    </rPh>
    <rPh sb="51" eb="52">
      <t>オ</t>
    </rPh>
    <rPh sb="59" eb="61">
      <t>ショウライ</t>
    </rPh>
    <rPh sb="62" eb="63">
      <t>コ</t>
    </rPh>
    <rPh sb="73" eb="74">
      <t>スコ</t>
    </rPh>
    <rPh sb="77" eb="79">
      <t>ハイシュツ</t>
    </rPh>
    <rPh sb="79" eb="80">
      <t>リョウ</t>
    </rPh>
    <rPh sb="81" eb="82">
      <t>ヘ</t>
    </rPh>
    <phoneticPr fontId="3"/>
  </si>
  <si>
    <t>【２】光熱費・ガソリン代の標準との比較</t>
    <rPh sb="3" eb="6">
      <t>コウネツヒ</t>
    </rPh>
    <rPh sb="11" eb="12">
      <t>ダイ</t>
    </rPh>
    <rPh sb="13" eb="15">
      <t>ヒョウジュン</t>
    </rPh>
    <rPh sb="17" eb="19">
      <t>ヒカク</t>
    </rPh>
    <phoneticPr fontId="3"/>
  </si>
  <si>
    <t>（３）取組項目設定</t>
    <rPh sb="3" eb="4">
      <t>ト</t>
    </rPh>
    <rPh sb="4" eb="5">
      <t>ク</t>
    </rPh>
    <rPh sb="5" eb="7">
      <t>コウモク</t>
    </rPh>
    <rPh sb="7" eb="9">
      <t>セッテイ</t>
    </rPh>
    <phoneticPr fontId="3"/>
  </si>
  <si>
    <t>※白色の欄に記入をすることができます。</t>
    <rPh sb="1" eb="2">
      <t>シロ</t>
    </rPh>
    <rPh sb="2" eb="3">
      <t>イロ</t>
    </rPh>
    <rPh sb="4" eb="5">
      <t>ラン</t>
    </rPh>
    <rPh sb="6" eb="8">
      <t>キニュウ</t>
    </rPh>
    <phoneticPr fontId="3"/>
  </si>
  <si>
    <t>※診断書の左上に、プログラム名として表示されます。</t>
    <rPh sb="1" eb="4">
      <t>シンダンショ</t>
    </rPh>
    <rPh sb="5" eb="7">
      <t>ヒダリウエ</t>
    </rPh>
    <rPh sb="14" eb="15">
      <t>メイ</t>
    </rPh>
    <rPh sb="18" eb="20">
      <t>ヒョウジ</t>
    </rPh>
    <phoneticPr fontId="3"/>
  </si>
  <si>
    <t>※診断書のレーダーチャート（蜘蛛の巣グラフ）の5つの評価軸です。</t>
    <rPh sb="1" eb="4">
      <t>シンダンショ</t>
    </rPh>
    <rPh sb="14" eb="16">
      <t>クモ</t>
    </rPh>
    <rPh sb="17" eb="18">
      <t>ス</t>
    </rPh>
    <rPh sb="26" eb="28">
      <t>ヒョウカ</t>
    </rPh>
    <rPh sb="28" eb="29">
      <t>ジク</t>
    </rPh>
    <phoneticPr fontId="3"/>
  </si>
  <si>
    <t>※取組みチェックをする項目を最大20個までと、それに対応する評価軸の番号を記入してください。</t>
    <rPh sb="1" eb="3">
      <t>トリク</t>
    </rPh>
    <rPh sb="11" eb="13">
      <t>コウモク</t>
    </rPh>
    <rPh sb="14" eb="16">
      <t>サイダイ</t>
    </rPh>
    <rPh sb="18" eb="19">
      <t>コ</t>
    </rPh>
    <rPh sb="26" eb="28">
      <t>タイオウ</t>
    </rPh>
    <rPh sb="30" eb="32">
      <t>ヒョウカ</t>
    </rPh>
    <rPh sb="32" eb="33">
      <t>ジク</t>
    </rPh>
    <rPh sb="34" eb="36">
      <t>バンゴウ</t>
    </rPh>
    <rPh sb="37" eb="39">
      <t>キニュウ</t>
    </rPh>
    <phoneticPr fontId="3"/>
  </si>
  <si>
    <t>（２）呼び出し方法設定</t>
    <rPh sb="3" eb="4">
      <t>ヨ</t>
    </rPh>
    <rPh sb="5" eb="6">
      <t>ダ</t>
    </rPh>
    <rPh sb="7" eb="9">
      <t>ホウホウ</t>
    </rPh>
    <rPh sb="9" eb="11">
      <t>セッテイ</t>
    </rPh>
    <phoneticPr fontId="3"/>
  </si>
  <si>
    <t>入力方法→</t>
    <rPh sb="0" eb="2">
      <t>ニュウリョク</t>
    </rPh>
    <rPh sb="2" eb="4">
      <t>ホウホウ</t>
    </rPh>
    <phoneticPr fontId="3"/>
  </si>
  <si>
    <t>ID</t>
    <phoneticPr fontId="3"/>
  </si>
  <si>
    <t>ガス</t>
    <phoneticPr fontId="3"/>
  </si>
  <si>
    <t>ガソリン</t>
    <phoneticPr fontId="3"/>
  </si>
  <si>
    <t>あなた</t>
    <phoneticPr fontId="3"/>
  </si>
  <si>
    <t>kg-CO2</t>
    <phoneticPr fontId="3"/>
  </si>
  <si>
    <t>電気代</t>
    <rPh sb="0" eb="3">
      <t>デンキダイ</t>
    </rPh>
    <phoneticPr fontId="3"/>
  </si>
  <si>
    <t>灯油代</t>
    <rPh sb="0" eb="2">
      <t>トウユ</t>
    </rPh>
    <rPh sb="2" eb="3">
      <t>ダイ</t>
    </rPh>
    <phoneticPr fontId="3"/>
  </si>
  <si>
    <t>ガソリン代</t>
    <rPh sb="4" eb="5">
      <t>ダイ</t>
    </rPh>
    <phoneticPr fontId="3"/>
  </si>
  <si>
    <t>一時処理</t>
    <rPh sb="0" eb="2">
      <t>イチジ</t>
    </rPh>
    <rPh sb="2" eb="4">
      <t>ショリ</t>
    </rPh>
    <phoneticPr fontId="3"/>
  </si>
  <si>
    <t>評価軸</t>
    <rPh sb="0" eb="2">
      <t>ヒョウカ</t>
    </rPh>
    <rPh sb="2" eb="3">
      <t>ジク</t>
    </rPh>
    <phoneticPr fontId="3"/>
  </si>
  <si>
    <t>（２）チェック項目評価</t>
    <rPh sb="7" eb="9">
      <t>コウモク</t>
    </rPh>
    <rPh sb="9" eb="11">
      <t>ヒョウカ</t>
    </rPh>
    <phoneticPr fontId="3"/>
  </si>
  <si>
    <t>電気</t>
    <rPh sb="0" eb="2">
      <t>デンキ</t>
    </rPh>
    <phoneticPr fontId="3"/>
  </si>
  <si>
    <t>灯油</t>
    <rPh sb="0" eb="2">
      <t>トウユ</t>
    </rPh>
    <phoneticPr fontId="3"/>
  </si>
  <si>
    <t>低いもの</t>
    <rPh sb="0" eb="1">
      <t>ヒク</t>
    </rPh>
    <phoneticPr fontId="3"/>
  </si>
  <si>
    <t>悪い項目</t>
    <rPh sb="0" eb="1">
      <t>ワル</t>
    </rPh>
    <rPh sb="2" eb="4">
      <t>コウモク</t>
    </rPh>
    <phoneticPr fontId="3"/>
  </si>
  <si>
    <t>■2番目の提案</t>
    <rPh sb="2" eb="4">
      <t>バンメ</t>
    </rPh>
    <rPh sb="5" eb="7">
      <t>テイアン</t>
    </rPh>
    <phoneticPr fontId="3"/>
  </si>
  <si>
    <t>電気</t>
    <rPh sb="0" eb="2">
      <t>デンキ</t>
    </rPh>
    <phoneticPr fontId="3"/>
  </si>
  <si>
    <t>灯油</t>
    <rPh sb="0" eb="2">
      <t>トウユ</t>
    </rPh>
    <phoneticPr fontId="3"/>
  </si>
  <si>
    <t>比率</t>
    <rPh sb="0" eb="2">
      <t>ヒリツ</t>
    </rPh>
    <phoneticPr fontId="3"/>
  </si>
  <si>
    <t>評価</t>
    <rPh sb="0" eb="2">
      <t>ヒョウカ</t>
    </rPh>
    <phoneticPr fontId="3"/>
  </si>
  <si>
    <t>基本</t>
    <rPh sb="0" eb="2">
      <t>キホン</t>
    </rPh>
    <phoneticPr fontId="3"/>
  </si>
  <si>
    <t>単価</t>
    <rPh sb="0" eb="2">
      <t>タンカ</t>
    </rPh>
    <phoneticPr fontId="3"/>
  </si>
  <si>
    <t>円</t>
    <rPh sb="0" eb="1">
      <t>エン</t>
    </rPh>
    <phoneticPr fontId="3"/>
  </si>
  <si>
    <t>基本</t>
    <rPh sb="0" eb="2">
      <t>キホン</t>
    </rPh>
    <phoneticPr fontId="3"/>
  </si>
  <si>
    <t>単価</t>
    <rPh sb="0" eb="2">
      <t>タンカ</t>
    </rPh>
    <phoneticPr fontId="3"/>
  </si>
  <si>
    <t>■CO2排出量の推計</t>
    <rPh sb="4" eb="7">
      <t>ハイシュツリョウ</t>
    </rPh>
    <rPh sb="8" eb="10">
      <t>スイケイ</t>
    </rPh>
    <phoneticPr fontId="3"/>
  </si>
  <si>
    <t>電気</t>
    <rPh sb="0" eb="2">
      <t>デンキ</t>
    </rPh>
    <phoneticPr fontId="3"/>
  </si>
  <si>
    <t>灯油</t>
    <rPh sb="0" eb="2">
      <t>トウユ</t>
    </rPh>
    <phoneticPr fontId="3"/>
  </si>
  <si>
    <t>合計</t>
    <rPh sb="0" eb="2">
      <t>ゴウケイ</t>
    </rPh>
    <phoneticPr fontId="3"/>
  </si>
  <si>
    <t>エコライフ診断書作成シート</t>
    <rPh sb="5" eb="8">
      <t>シンダンショ</t>
    </rPh>
    <rPh sb="8" eb="10">
      <t>サクセイ</t>
    </rPh>
    <phoneticPr fontId="3"/>
  </si>
  <si>
    <t>　このシートは、家庭のエコライフをサポートするためのツールです。
　家庭のエコライフの取組みや、光熱費を入力することで、右のような診断書が作成されます。環境にいい生活ができているのかどうか、ぜひチェックしてみてください。
　記入シートを配布して、グループとして取組むことが可能です。</t>
    <rPh sb="8" eb="10">
      <t>カテイ</t>
    </rPh>
    <rPh sb="34" eb="36">
      <t>カテイ</t>
    </rPh>
    <rPh sb="43" eb="45">
      <t>トリク</t>
    </rPh>
    <rPh sb="48" eb="51">
      <t>コウネツヒ</t>
    </rPh>
    <rPh sb="52" eb="54">
      <t>ニュウリョク</t>
    </rPh>
    <rPh sb="60" eb="61">
      <t>ミギ</t>
    </rPh>
    <rPh sb="65" eb="68">
      <t>シンダンショ</t>
    </rPh>
    <rPh sb="69" eb="71">
      <t>サクセイ</t>
    </rPh>
    <rPh sb="76" eb="78">
      <t>カンキョウ</t>
    </rPh>
    <rPh sb="81" eb="83">
      <t>セイカツ</t>
    </rPh>
    <rPh sb="112" eb="114">
      <t>キニュウ</t>
    </rPh>
    <rPh sb="118" eb="120">
      <t>ハイフ</t>
    </rPh>
    <rPh sb="130" eb="132">
      <t>トリク</t>
    </rPh>
    <rPh sb="136" eb="138">
      <t>カノウ</t>
    </rPh>
    <phoneticPr fontId="3"/>
  </si>
  <si>
    <t>★使い方</t>
    <rPh sb="1" eb="4">
      <t>ツカイカタ</t>
    </rPh>
    <phoneticPr fontId="3"/>
  </si>
  <si>
    <t>★概要</t>
    <rPh sb="1" eb="3">
      <t>ガイヨウ</t>
    </rPh>
    <phoneticPr fontId="3"/>
  </si>
  <si>
    <t>　自分の家庭で、エコライフがどのくらいできているのか、診断書を作成することができます。</t>
    <rPh sb="1" eb="3">
      <t>ジブン</t>
    </rPh>
    <rPh sb="4" eb="6">
      <t>カテイ</t>
    </rPh>
    <rPh sb="27" eb="30">
      <t>シンダンショ</t>
    </rPh>
    <rPh sb="31" eb="33">
      <t>サクセイ</t>
    </rPh>
    <phoneticPr fontId="3"/>
  </si>
  <si>
    <t>エコライフ診断　記入シート</t>
    <rPh sb="5" eb="7">
      <t>シンダン</t>
    </rPh>
    <rPh sb="8" eb="10">
      <t>キニュウ</t>
    </rPh>
    <phoneticPr fontId="3"/>
  </si>
  <si>
    <t>円</t>
    <rPh sb="0" eb="1">
      <t>エン</t>
    </rPh>
    <phoneticPr fontId="3"/>
  </si>
  <si>
    <t>ご記入ありがとうございました。</t>
    <rPh sb="0" eb="3">
      <t>ゴキニュウ</t>
    </rPh>
    <phoneticPr fontId="3"/>
  </si>
  <si>
    <t>★特徴</t>
    <rPh sb="1" eb="3">
      <t>トクチョウ</t>
    </rPh>
    <phoneticPr fontId="3"/>
  </si>
  <si>
    <t>・診断書で取組みのアドバイスが出てきます。</t>
    <rPh sb="1" eb="4">
      <t>シンダンショ</t>
    </rPh>
    <rPh sb="5" eb="7">
      <t>トリク</t>
    </rPh>
    <rPh sb="15" eb="16">
      <t>デ</t>
    </rPh>
    <phoneticPr fontId="3"/>
  </si>
  <si>
    <t>・チェック項目は最大20項目で、自由に変更できます。</t>
    <rPh sb="5" eb="7">
      <t>コウモク</t>
    </rPh>
    <rPh sb="8" eb="10">
      <t>サイダイ</t>
    </rPh>
    <rPh sb="12" eb="14">
      <t>コウモク</t>
    </rPh>
    <rPh sb="16" eb="18">
      <t>ジユウ</t>
    </rPh>
    <rPh sb="19" eb="21">
      <t>ヘンコウ</t>
    </rPh>
    <phoneticPr fontId="3"/>
  </si>
  <si>
    <t>・標準的家庭との比較により、消費量が多いか少ないか</t>
    <rPh sb="1" eb="4">
      <t>ヒョウジュンテキ</t>
    </rPh>
    <rPh sb="4" eb="6">
      <t>カテイ</t>
    </rPh>
    <rPh sb="8" eb="10">
      <t>ヒカク</t>
    </rPh>
    <rPh sb="14" eb="17">
      <t>ショウヒリョウ</t>
    </rPh>
    <rPh sb="18" eb="19">
      <t>オオ</t>
    </rPh>
    <rPh sb="21" eb="22">
      <t>スク</t>
    </rPh>
    <phoneticPr fontId="3"/>
  </si>
  <si>
    <t>　がわかります。</t>
    <phoneticPr fontId="3"/>
  </si>
  <si>
    <t>（１）初期設定</t>
    <rPh sb="3" eb="5">
      <t>ショキ</t>
    </rPh>
    <rPh sb="5" eb="7">
      <t>セッテイ</t>
    </rPh>
    <phoneticPr fontId="3"/>
  </si>
  <si>
    <t>（２）印刷用記入シート</t>
    <rPh sb="3" eb="5">
      <t>インサツ</t>
    </rPh>
    <rPh sb="5" eb="6">
      <t>ヨウ</t>
    </rPh>
    <rPh sb="6" eb="8">
      <t>キニュウ</t>
    </rPh>
    <phoneticPr fontId="3"/>
  </si>
  <si>
    <t>（３）入力シート</t>
    <rPh sb="3" eb="5">
      <t>ニュウリョク</t>
    </rPh>
    <phoneticPr fontId="3"/>
  </si>
  <si>
    <t>　印刷して、記入シートとして使います。</t>
    <rPh sb="1" eb="3">
      <t>インサツ</t>
    </rPh>
    <rPh sb="6" eb="8">
      <t>キニュウ</t>
    </rPh>
    <rPh sb="14" eb="15">
      <t>ツカ</t>
    </rPh>
    <phoneticPr fontId="3"/>
  </si>
  <si>
    <t>　記入シートを、1人1行で入力します。</t>
    <rPh sb="1" eb="3">
      <t>キニュウ</t>
    </rPh>
    <rPh sb="9" eb="10">
      <t>ニン</t>
    </rPh>
    <rPh sb="11" eb="12">
      <t>ギョウ</t>
    </rPh>
    <rPh sb="13" eb="15">
      <t>ニュウリョク</t>
    </rPh>
    <phoneticPr fontId="3"/>
  </si>
  <si>
    <t>（４）診断書作成</t>
    <rPh sb="3" eb="6">
      <t>シンダンショ</t>
    </rPh>
    <rPh sb="6" eb="8">
      <t>サクセイ</t>
    </rPh>
    <phoneticPr fontId="3"/>
  </si>
  <si>
    <t>　入力シートの診断モードが「自動最新」の場合には、最後に入力した人の分が、「診断書」シートに表示されます。
　「指定呼出」の場合には、呼出番号に指定した人が、「診断書」シートに表示されます。</t>
    <rPh sb="1" eb="3">
      <t>ニュウリョク</t>
    </rPh>
    <rPh sb="7" eb="9">
      <t>シンダン</t>
    </rPh>
    <rPh sb="14" eb="16">
      <t>ジドウ</t>
    </rPh>
    <rPh sb="16" eb="18">
      <t>サイシン</t>
    </rPh>
    <rPh sb="20" eb="22">
      <t>バアイ</t>
    </rPh>
    <rPh sb="25" eb="27">
      <t>サイゴ</t>
    </rPh>
    <rPh sb="28" eb="30">
      <t>ニュウリョク</t>
    </rPh>
    <rPh sb="32" eb="33">
      <t>ヒト</t>
    </rPh>
    <rPh sb="34" eb="35">
      <t>ブン</t>
    </rPh>
    <rPh sb="38" eb="41">
      <t>シンダンショ</t>
    </rPh>
    <rPh sb="46" eb="48">
      <t>ヒョウジ</t>
    </rPh>
    <rPh sb="56" eb="58">
      <t>シテイ</t>
    </rPh>
    <rPh sb="58" eb="60">
      <t>ヨビダシ</t>
    </rPh>
    <rPh sb="62" eb="64">
      <t>バアイ</t>
    </rPh>
    <rPh sb="67" eb="69">
      <t>ヨビダシ</t>
    </rPh>
    <rPh sb="69" eb="71">
      <t>バンゴウ</t>
    </rPh>
    <rPh sb="72" eb="74">
      <t>シテイ</t>
    </rPh>
    <rPh sb="76" eb="77">
      <t>ヒト</t>
    </rPh>
    <rPh sb="80" eb="83">
      <t>シンダンショ</t>
    </rPh>
    <rPh sb="88" eb="90">
      <t>ヒョウジ</t>
    </rPh>
    <phoneticPr fontId="3"/>
  </si>
  <si>
    <t>EXCEL97を使用していて、入力シートで「ウィンドウ枠の固定」を行うと、診断モードのプルダウンメニューが選択でき</t>
    <rPh sb="8" eb="10">
      <t>シヨウ</t>
    </rPh>
    <rPh sb="15" eb="17">
      <t>ニュウリョク</t>
    </rPh>
    <rPh sb="27" eb="28">
      <t>ワク</t>
    </rPh>
    <rPh sb="29" eb="31">
      <t>コテイ</t>
    </rPh>
    <rPh sb="33" eb="34">
      <t>オコナ</t>
    </rPh>
    <rPh sb="37" eb="39">
      <t>シンダン</t>
    </rPh>
    <rPh sb="53" eb="55">
      <t>センタク</t>
    </rPh>
    <phoneticPr fontId="3"/>
  </si>
  <si>
    <t>なくなります。これはEXCEL97の仕様であり、他のバージョンではうまく動きます。</t>
    <rPh sb="18" eb="20">
      <t>シヨウ</t>
    </rPh>
    <rPh sb="24" eb="25">
      <t>ホカ</t>
    </rPh>
    <rPh sb="36" eb="37">
      <t>ウゴ</t>
    </rPh>
    <phoneticPr fontId="3"/>
  </si>
  <si>
    <t>使用条件</t>
    <rPh sb="0" eb="2">
      <t>シヨウ</t>
    </rPh>
    <rPh sb="2" eb="4">
      <t>ジョウケン</t>
    </rPh>
    <phoneticPr fontId="3"/>
  </si>
  <si>
    <t>このソフトは、誰でも無条件で使用することができます。（商売をしても構いません）</t>
    <rPh sb="7" eb="8">
      <t>ダレ</t>
    </rPh>
    <rPh sb="10" eb="13">
      <t>ムジョウケン</t>
    </rPh>
    <rPh sb="14" eb="16">
      <t>シヨウ</t>
    </rPh>
    <rPh sb="27" eb="29">
      <t>ショウバイ</t>
    </rPh>
    <rPh sb="33" eb="34">
      <t>カマ</t>
    </rPh>
    <phoneticPr fontId="3"/>
  </si>
  <si>
    <t>・</t>
    <phoneticPr fontId="3"/>
  </si>
  <si>
    <t>ただし、ソフトを改変すること、他のソフトへ組み込むことは、禁止します。</t>
    <rPh sb="8" eb="10">
      <t>カイヘン</t>
    </rPh>
    <rPh sb="15" eb="16">
      <t>ホカ</t>
    </rPh>
    <rPh sb="21" eb="24">
      <t>クミコ</t>
    </rPh>
    <rPh sb="29" eb="31">
      <t>キンシ</t>
    </rPh>
    <phoneticPr fontId="3"/>
  </si>
  <si>
    <t>使用した旨（利用者数、改善要望点）などお送りいただけるとたすかります。</t>
    <rPh sb="0" eb="2">
      <t>シヨウ</t>
    </rPh>
    <rPh sb="4" eb="5">
      <t>ムネ</t>
    </rPh>
    <rPh sb="6" eb="9">
      <t>リヨウシャ</t>
    </rPh>
    <rPh sb="9" eb="10">
      <t>スウ</t>
    </rPh>
    <rPh sb="11" eb="13">
      <t>カイゼン</t>
    </rPh>
    <rPh sb="13" eb="15">
      <t>ヨウボウ</t>
    </rPh>
    <rPh sb="15" eb="16">
      <t>テン</t>
    </rPh>
    <rPh sb="19" eb="21">
      <t>オオク</t>
    </rPh>
    <phoneticPr fontId="3"/>
  </si>
  <si>
    <t>自動最新</t>
  </si>
  <si>
    <t>電気代</t>
    <rPh sb="0" eb="3">
      <t>デンキダイ</t>
    </rPh>
    <phoneticPr fontId="3"/>
  </si>
  <si>
    <t>灯油代</t>
    <rPh sb="0" eb="2">
      <t>トウユ</t>
    </rPh>
    <rPh sb="2" eb="3">
      <t>ダイ</t>
    </rPh>
    <phoneticPr fontId="3"/>
  </si>
  <si>
    <t>【3】あなたの家族人数と、お名前をご記入ください</t>
    <rPh sb="7" eb="9">
      <t>カゾク</t>
    </rPh>
    <rPh sb="9" eb="11">
      <t>ニンズウ</t>
    </rPh>
    <rPh sb="13" eb="16">
      <t>オナマエ</t>
    </rPh>
    <rPh sb="17" eb="20">
      <t>ゴキニュウ</t>
    </rPh>
    <phoneticPr fontId="3"/>
  </si>
  <si>
    <t>人数</t>
    <rPh sb="0" eb="2">
      <t>ニンズウ</t>
    </rPh>
    <phoneticPr fontId="3"/>
  </si>
  <si>
    <t>お名前</t>
    <rPh sb="0" eb="3">
      <t>オナマエ</t>
    </rPh>
    <phoneticPr fontId="3"/>
  </si>
  <si>
    <t>人</t>
    <rPh sb="0" eb="1">
      <t>ニン</t>
    </rPh>
    <phoneticPr fontId="3"/>
  </si>
  <si>
    <t>【2】一ヶ月のおおよその光熱費を記入してください。</t>
    <phoneticPr fontId="3"/>
  </si>
  <si>
    <t>【１】次の取組みができていますか？あてはまる番号に○をつけてください。</t>
    <rPh sb="3" eb="4">
      <t>ツギ</t>
    </rPh>
    <rPh sb="5" eb="7">
      <t>トリク</t>
    </rPh>
    <rPh sb="22" eb="24">
      <t>バンゴウ</t>
    </rPh>
    <phoneticPr fontId="3"/>
  </si>
  <si>
    <t>■個人呼び出し</t>
    <rPh sb="1" eb="3">
      <t>コジン</t>
    </rPh>
    <rPh sb="3" eb="4">
      <t>ヨ</t>
    </rPh>
    <rPh sb="5" eb="6">
      <t>ダ</t>
    </rPh>
    <phoneticPr fontId="3"/>
  </si>
  <si>
    <t>1ヶ月の光熱費・ガソリン代(円）</t>
    <rPh sb="2" eb="3">
      <t>ゲツ</t>
    </rPh>
    <rPh sb="4" eb="7">
      <t>コウネツヒ</t>
    </rPh>
    <rPh sb="12" eb="13">
      <t>ダイ</t>
    </rPh>
    <rPh sb="14" eb="15">
      <t>エン</t>
    </rPh>
    <phoneticPr fontId="3"/>
  </si>
  <si>
    <t>家族人数</t>
    <rPh sb="0" eb="2">
      <t>カゾク</t>
    </rPh>
    <rPh sb="2" eb="4">
      <t>ニンズウ</t>
    </rPh>
    <phoneticPr fontId="3"/>
  </si>
  <si>
    <t>（１）光熱費・CO2排出量評価</t>
    <rPh sb="3" eb="6">
      <t>コウネツヒ</t>
    </rPh>
    <rPh sb="10" eb="12">
      <t>ハイシュツ</t>
    </rPh>
    <rPh sb="12" eb="13">
      <t>リョウ</t>
    </rPh>
    <rPh sb="13" eb="15">
      <t>ヒョウカ</t>
    </rPh>
    <phoneticPr fontId="3"/>
  </si>
  <si>
    <t>■家族人数別の標準支出</t>
    <rPh sb="1" eb="3">
      <t>カゾク</t>
    </rPh>
    <rPh sb="3" eb="5">
      <t>ニンズウ</t>
    </rPh>
    <rPh sb="5" eb="6">
      <t>ベツ</t>
    </rPh>
    <rPh sb="7" eb="9">
      <t>ヒョウジュン</t>
    </rPh>
    <rPh sb="9" eb="11">
      <t>シシュツ</t>
    </rPh>
    <phoneticPr fontId="3"/>
  </si>
  <si>
    <t>平均点</t>
    <rPh sb="0" eb="3">
      <t>ヘイキンテン</t>
    </rPh>
    <phoneticPr fontId="3"/>
  </si>
  <si>
    <t>よい項目</t>
    <rPh sb="2" eb="4">
      <t>コウモク</t>
    </rPh>
    <phoneticPr fontId="3"/>
  </si>
  <si>
    <t>■1番目の提案</t>
    <rPh sb="2" eb="4">
      <t>バンメ</t>
    </rPh>
    <rPh sb="5" eb="7">
      <t>テイアン</t>
    </rPh>
    <phoneticPr fontId="3"/>
  </si>
  <si>
    <t>■標準値との比較</t>
    <rPh sb="1" eb="4">
      <t>ヒョウジュンチ</t>
    </rPh>
    <rPh sb="6" eb="8">
      <t>ヒカク</t>
    </rPh>
    <phoneticPr fontId="3"/>
  </si>
  <si>
    <t>円</t>
    <rPh sb="0" eb="1">
      <t>エン</t>
    </rPh>
    <phoneticPr fontId="3"/>
  </si>
  <si>
    <t>ガス代</t>
  </si>
  <si>
    <t>ガス代</t>
    <rPh sb="2" eb="3">
      <t>ダイ</t>
    </rPh>
    <phoneticPr fontId="3"/>
  </si>
  <si>
    <t>都市ガス</t>
    <rPh sb="0" eb="2">
      <t>トシ</t>
    </rPh>
    <phoneticPr fontId="3"/>
  </si>
  <si>
    <t>LPガス</t>
    <phoneticPr fontId="3"/>
  </si>
  <si>
    <t>都市ガス代</t>
    <rPh sb="0" eb="2">
      <t>トシ</t>
    </rPh>
    <rPh sb="4" eb="5">
      <t>ダイ</t>
    </rPh>
    <phoneticPr fontId="3"/>
  </si>
  <si>
    <t>LPガス代</t>
    <rPh sb="4" eb="5">
      <t>ダイ</t>
    </rPh>
    <phoneticPr fontId="3"/>
  </si>
  <si>
    <t>電気</t>
    <rPh sb="0" eb="2">
      <t>デンキ</t>
    </rPh>
    <phoneticPr fontId="3"/>
  </si>
  <si>
    <t>都市ガス</t>
    <rPh sb="0" eb="2">
      <t>トシ</t>
    </rPh>
    <phoneticPr fontId="3"/>
  </si>
  <si>
    <t>（４）価格設定</t>
    <rPh sb="3" eb="5">
      <t>カカク</t>
    </rPh>
    <rPh sb="5" eb="7">
      <t>セッテイ</t>
    </rPh>
    <phoneticPr fontId="3"/>
  </si>
  <si>
    <t>最大</t>
    <rPh sb="0" eb="2">
      <t>サイダイ</t>
    </rPh>
    <phoneticPr fontId="3"/>
  </si>
  <si>
    <t>■電気代から消費量の算出</t>
    <rPh sb="1" eb="4">
      <t>デンキダイ</t>
    </rPh>
    <rPh sb="6" eb="9">
      <t>ショウヒリョウ</t>
    </rPh>
    <rPh sb="10" eb="12">
      <t>サンシュツ</t>
    </rPh>
    <phoneticPr fontId="3"/>
  </si>
  <si>
    <t>■都市ガス代からの消費量算出</t>
    <rPh sb="1" eb="3">
      <t>トシ</t>
    </rPh>
    <rPh sb="5" eb="6">
      <t>ダイ</t>
    </rPh>
    <rPh sb="9" eb="12">
      <t>ショウヒリョウ</t>
    </rPh>
    <rPh sb="12" eb="14">
      <t>サンシュツ</t>
    </rPh>
    <phoneticPr fontId="3"/>
  </si>
  <si>
    <t>■LPガス代からの消費量算出</t>
    <rPh sb="5" eb="6">
      <t>ダイ</t>
    </rPh>
    <rPh sb="9" eb="12">
      <t>ショウヒリョウ</t>
    </rPh>
    <rPh sb="12" eb="14">
      <t>サンシュツ</t>
    </rPh>
    <phoneticPr fontId="3"/>
  </si>
  <si>
    <r>
      <t>単価</t>
    </r>
    <r>
      <rPr>
        <sz val="8"/>
        <rFont val="ＭＳ Ｐゴシック"/>
        <family val="3"/>
        <charset val="128"/>
      </rPr>
      <t>（円/単位）</t>
    </r>
    <rPh sb="0" eb="2">
      <t>タンカ</t>
    </rPh>
    <rPh sb="3" eb="4">
      <t>エン</t>
    </rPh>
    <rPh sb="5" eb="7">
      <t>タンイ</t>
    </rPh>
    <phoneticPr fontId="3"/>
  </si>
  <si>
    <r>
      <t>範囲最大</t>
    </r>
    <r>
      <rPr>
        <sz val="8"/>
        <rFont val="ＭＳ Ｐゴシック"/>
        <family val="3"/>
        <charset val="128"/>
      </rPr>
      <t>（単位）</t>
    </r>
    <rPh sb="0" eb="2">
      <t>ハンイ</t>
    </rPh>
    <rPh sb="2" eb="4">
      <t>サイダイ</t>
    </rPh>
    <rPh sb="5" eb="7">
      <t>タンイ</t>
    </rPh>
    <phoneticPr fontId="3"/>
  </si>
  <si>
    <t>最大kWh</t>
    <rPh sb="0" eb="2">
      <t>サイダイ</t>
    </rPh>
    <phoneticPr fontId="3"/>
  </si>
  <si>
    <t>最大m3</t>
    <rPh sb="0" eb="2">
      <t>サイダイ</t>
    </rPh>
    <phoneticPr fontId="3"/>
  </si>
  <si>
    <t>最大m3</t>
    <rPh sb="0" eb="2">
      <t>サイダイ</t>
    </rPh>
    <phoneticPr fontId="3"/>
  </si>
  <si>
    <t>最大金額</t>
    <rPh sb="0" eb="2">
      <t>サイダイ</t>
    </rPh>
    <rPh sb="2" eb="4">
      <t>キンガク</t>
    </rPh>
    <phoneticPr fontId="3"/>
  </si>
  <si>
    <t>（５）CO2係数設定</t>
    <rPh sb="6" eb="8">
      <t>ケイスウ</t>
    </rPh>
    <rPh sb="8" eb="10">
      <t>セッテイ</t>
    </rPh>
    <phoneticPr fontId="3"/>
  </si>
  <si>
    <t>kg/kWh</t>
    <phoneticPr fontId="3"/>
  </si>
  <si>
    <t>kg/m3</t>
    <phoneticPr fontId="3"/>
  </si>
  <si>
    <t>kg/L</t>
    <phoneticPr fontId="3"/>
  </si>
  <si>
    <t>（６）地域設定</t>
    <rPh sb="3" eb="5">
      <t>チイキ</t>
    </rPh>
    <rPh sb="5" eb="7">
      <t>セッテイ</t>
    </rPh>
    <phoneticPr fontId="3"/>
  </si>
  <si>
    <t>仮計算</t>
    <rPh sb="0" eb="1">
      <t>カリ</t>
    </rPh>
    <rPh sb="1" eb="3">
      <t>ケイサン</t>
    </rPh>
    <phoneticPr fontId="3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</si>
  <si>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</si>
  <si>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</si>
  <si>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</si>
  <si>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</si>
  <si>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</si>
  <si>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</si>
  <si>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</si>
  <si>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</si>
  <si>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</si>
  <si>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</si>
  <si>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</si>
  <si>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</si>
  <si>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</si>
  <si>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</si>
  <si>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</si>
  <si>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</si>
  <si>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</si>
  <si>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</si>
  <si>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</si>
  <si>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</si>
  <si>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</si>
  <si>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</si>
  <si>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</si>
  <si>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</si>
  <si>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</si>
  <si>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</si>
  <si>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</si>
  <si>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</si>
  <si>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</si>
  <si>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</si>
  <si>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</si>
  <si>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</si>
  <si>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</si>
  <si>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</si>
  <si>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</si>
  <si>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</si>
  <si>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</si>
  <si>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</si>
  <si>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</si>
  <si>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</si>
  <si>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</si>
  <si>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</si>
  <si>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</si>
  <si>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</si>
  <si>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</si>
  <si>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</si>
  <si>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</si>
  <si>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</si>
  <si>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</si>
  <si>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電気代</t>
  </si>
  <si>
    <t>水道代</t>
  </si>
  <si>
    <t>灯油代</t>
  </si>
  <si>
    <t>ガソリン代</t>
  </si>
  <si>
    <t>全国平均</t>
  </si>
  <si>
    <t>全国比</t>
    <rPh sb="0" eb="3">
      <t>ゼンコクヒ</t>
    </rPh>
    <phoneticPr fontId="3"/>
  </si>
  <si>
    <t>■地域比率</t>
    <rPh sb="1" eb="3">
      <t>チイキ</t>
    </rPh>
    <rPh sb="3" eb="5">
      <t>ヒリツ</t>
    </rPh>
    <phoneticPr fontId="3"/>
  </si>
  <si>
    <t>※地域補正後</t>
    <rPh sb="1" eb="3">
      <t>チイキ</t>
    </rPh>
    <rPh sb="3" eb="6">
      <t>ホセイゴ</t>
    </rPh>
    <phoneticPr fontId="3"/>
  </si>
  <si>
    <t>※地域ごとに、標準的光熱費が変わります。</t>
    <rPh sb="1" eb="3">
      <t>チイキ</t>
    </rPh>
    <rPh sb="7" eb="10">
      <t>ヒョウジュンテキ</t>
    </rPh>
    <rPh sb="10" eb="13">
      <t>コウネツヒ</t>
    </rPh>
    <rPh sb="14" eb="15">
      <t>カ</t>
    </rPh>
    <phoneticPr fontId="3"/>
  </si>
  <si>
    <t>※電力会社ごとに、CO2係数が違います。</t>
    <rPh sb="1" eb="3">
      <t>デンリョク</t>
    </rPh>
    <rPh sb="3" eb="5">
      <t>ガイシャ</t>
    </rPh>
    <rPh sb="12" eb="14">
      <t>ケイスウ</t>
    </rPh>
    <rPh sb="15" eb="16">
      <t>チガ</t>
    </rPh>
    <phoneticPr fontId="3"/>
  </si>
  <si>
    <t>・全国の都市の標準消費量をデータとして持っているため</t>
    <rPh sb="1" eb="3">
      <t>ゼンコク</t>
    </rPh>
    <rPh sb="4" eb="6">
      <t>トシ</t>
    </rPh>
    <rPh sb="7" eb="9">
      <t>ヒョウジュン</t>
    </rPh>
    <rPh sb="9" eb="12">
      <t>ショウヒリョウ</t>
    </rPh>
    <rPh sb="19" eb="20">
      <t>モ</t>
    </rPh>
    <phoneticPr fontId="3"/>
  </si>
  <si>
    <t>　各地域での診断に対応できます。</t>
    <rPh sb="1" eb="2">
      <t>カク</t>
    </rPh>
    <rPh sb="2" eb="4">
      <t>チイキ</t>
    </rPh>
    <rPh sb="6" eb="8">
      <t>シンダン</t>
    </rPh>
    <rPh sb="9" eb="11">
      <t>タイオウ</t>
    </rPh>
    <phoneticPr fontId="3"/>
  </si>
  <si>
    <t>エネルギー消費量については、値段からの逆算を行っていますので、値の正確性を保証するものではありません。</t>
    <rPh sb="5" eb="8">
      <t>ショウヒリョウ</t>
    </rPh>
    <rPh sb="14" eb="16">
      <t>ネダン</t>
    </rPh>
    <rPh sb="19" eb="21">
      <t>ギャクサン</t>
    </rPh>
    <rPh sb="22" eb="23">
      <t>オコナ</t>
    </rPh>
    <rPh sb="31" eb="32">
      <t>アタイ</t>
    </rPh>
    <rPh sb="33" eb="36">
      <t>セイカクセイ</t>
    </rPh>
    <rPh sb="37" eb="39">
      <t>ホショウ</t>
    </rPh>
    <phoneticPr fontId="3"/>
  </si>
  <si>
    <t>わかっている問題</t>
    <rPh sb="6" eb="8">
      <t>モンダイ</t>
    </rPh>
    <phoneticPr fontId="3"/>
  </si>
  <si>
    <t>　プログラム名、評価軸、チェック項目、地域等を記入します。</t>
    <rPh sb="6" eb="7">
      <t>メイ</t>
    </rPh>
    <rPh sb="8" eb="10">
      <t>ヒョウカ</t>
    </rPh>
    <rPh sb="10" eb="11">
      <t>ジク</t>
    </rPh>
    <rPh sb="16" eb="18">
      <t>コウモク</t>
    </rPh>
    <rPh sb="19" eb="21">
      <t>チイキ</t>
    </rPh>
    <rPh sb="21" eb="22">
      <t>トウ</t>
    </rPh>
    <rPh sb="23" eb="25">
      <t>キニュウ</t>
    </rPh>
    <phoneticPr fontId="3"/>
  </si>
  <si>
    <t>　電気・ガスについては、価格から消費量を算出する係数を設定</t>
    <rPh sb="1" eb="3">
      <t>デンキ</t>
    </rPh>
    <rPh sb="12" eb="14">
      <t>カカク</t>
    </rPh>
    <rPh sb="16" eb="19">
      <t>ショウヒリョウ</t>
    </rPh>
    <rPh sb="20" eb="22">
      <t>サンシュツ</t>
    </rPh>
    <rPh sb="24" eb="26">
      <t>ケイスウ</t>
    </rPh>
    <rPh sb="27" eb="29">
      <t>セッテイ</t>
    </rPh>
    <phoneticPr fontId="3"/>
  </si>
  <si>
    <t>　します。</t>
    <phoneticPr fontId="3"/>
  </si>
  <si>
    <t>選択肢</t>
    <rPh sb="0" eb="3">
      <t>センタクシ</t>
    </rPh>
    <phoneticPr fontId="3"/>
  </si>
  <si>
    <t>（２）評価軸・選択肢</t>
    <rPh sb="3" eb="5">
      <t>ヒョウカ</t>
    </rPh>
    <rPh sb="5" eb="6">
      <t>ジク</t>
    </rPh>
    <rPh sb="7" eb="10">
      <t>センタクシ</t>
    </rPh>
    <phoneticPr fontId="3"/>
  </si>
  <si>
    <t>選択肢表記</t>
    <rPh sb="0" eb="3">
      <t>センタクシ</t>
    </rPh>
    <rPh sb="3" eb="5">
      <t>ヒョウキ</t>
    </rPh>
    <phoneticPr fontId="3"/>
  </si>
  <si>
    <t>半分くらい</t>
    <rPh sb="0" eb="2">
      <t>ハンブン</t>
    </rPh>
    <phoneticPr fontId="3"/>
  </si>
  <si>
    <t>できていない</t>
  </si>
  <si>
    <t>持っていない・関係ない</t>
    <rPh sb="0" eb="1">
      <t>モ</t>
    </rPh>
    <rPh sb="7" eb="9">
      <t>カンケイ</t>
    </rPh>
    <phoneticPr fontId="3"/>
  </si>
  <si>
    <t>少しできている</t>
    <rPh sb="0" eb="1">
      <t>スコ</t>
    </rPh>
    <phoneticPr fontId="3"/>
  </si>
  <si>
    <t>よくできている</t>
    <phoneticPr fontId="3"/>
  </si>
  <si>
    <t>できている</t>
    <phoneticPr fontId="3"/>
  </si>
  <si>
    <t>あまりできていない</t>
    <phoneticPr fontId="3"/>
  </si>
  <si>
    <t>できていない</t>
    <phoneticPr fontId="3"/>
  </si>
  <si>
    <t>名前</t>
    <rPh sb="0" eb="2">
      <t>ナマエ</t>
    </rPh>
    <phoneticPr fontId="3"/>
  </si>
  <si>
    <t>評価段階数</t>
    <rPh sb="0" eb="2">
      <t>ヒョウカ</t>
    </rPh>
    <rPh sb="2" eb="4">
      <t>ダンカイ</t>
    </rPh>
    <rPh sb="4" eb="5">
      <t>スウ</t>
    </rPh>
    <phoneticPr fontId="3"/>
  </si>
  <si>
    <t>「関係ない」
の振替</t>
    <rPh sb="1" eb="3">
      <t>カンケイ</t>
    </rPh>
    <rPh sb="8" eb="10">
      <t>フリカエ</t>
    </rPh>
    <phoneticPr fontId="3"/>
  </si>
  <si>
    <t>sample</t>
    <phoneticPr fontId="3"/>
  </si>
  <si>
    <t>台所</t>
    <rPh sb="0" eb="2">
      <t>ダイドコロ</t>
    </rPh>
    <phoneticPr fontId="3"/>
  </si>
  <si>
    <t>部屋・生活</t>
    <rPh sb="0" eb="2">
      <t>ヘヤ</t>
    </rPh>
    <rPh sb="3" eb="5">
      <t>セイカツ</t>
    </rPh>
    <phoneticPr fontId="3"/>
  </si>
  <si>
    <t>風呂・洗面</t>
    <rPh sb="0" eb="2">
      <t>フロ</t>
    </rPh>
    <rPh sb="3" eb="5">
      <t>センメン</t>
    </rPh>
    <phoneticPr fontId="3"/>
  </si>
  <si>
    <t>掃除洗濯</t>
    <rPh sb="0" eb="2">
      <t>ソウジ</t>
    </rPh>
    <rPh sb="2" eb="4">
      <t>センタク</t>
    </rPh>
    <phoneticPr fontId="3"/>
  </si>
  <si>
    <t>買い物・外出</t>
    <rPh sb="0" eb="1">
      <t>カ</t>
    </rPh>
    <rPh sb="2" eb="3">
      <t>モノ</t>
    </rPh>
    <rPh sb="4" eb="6">
      <t>ガイシュツ</t>
    </rPh>
    <phoneticPr fontId="3"/>
  </si>
  <si>
    <t>冷蔵庫のドアの開閉は回数を減らす</t>
  </si>
  <si>
    <t>食器洗いで節水を心がける</t>
    <rPh sb="0" eb="2">
      <t>ショッキ</t>
    </rPh>
    <rPh sb="2" eb="3">
      <t>アラ</t>
    </rPh>
    <phoneticPr fontId="4"/>
  </si>
  <si>
    <t>生ゴミは水分を十分切って出すか、コンポストしている</t>
    <phoneticPr fontId="3"/>
  </si>
  <si>
    <t>電子レンジや冷蔵庫保存はラップを使わず、ふた付き容器を使用する</t>
    <phoneticPr fontId="3"/>
  </si>
  <si>
    <t>使い切る分だけお湯を沸かす</t>
  </si>
  <si>
    <t>使っていない部屋の照明はこまめに消す</t>
  </si>
  <si>
    <t>物は大切に、長く使うように心がける</t>
  </si>
  <si>
    <t>家族で「省エネ」「リサイクル」「環境問題」などの話をする</t>
  </si>
  <si>
    <t>シャワーで使用するお湯を少なくするよう気をつける</t>
    <rPh sb="5" eb="7">
      <t>シヨウ</t>
    </rPh>
    <rPh sb="9" eb="11">
      <t>オユ</t>
    </rPh>
    <rPh sb="12" eb="13">
      <t>スク</t>
    </rPh>
    <rPh sb="19" eb="20">
      <t>キ</t>
    </rPh>
    <phoneticPr fontId="4"/>
  </si>
  <si>
    <t>お風呂はさめないうちに、家族が続けて入る</t>
  </si>
  <si>
    <t>お風呂の残り湯を、洗濯や庭の水やりに利用する</t>
    <rPh sb="12" eb="13">
      <t>ニワ</t>
    </rPh>
    <rPh sb="14" eb="15">
      <t>ミズ</t>
    </rPh>
    <phoneticPr fontId="4"/>
  </si>
  <si>
    <t>掃除機をかける前に、まず部屋を片づける</t>
  </si>
  <si>
    <t>洗濯は量をまとめて行い、洗濯回数を減らすようにする</t>
  </si>
  <si>
    <t>洗剤を適量確認して使用する</t>
    <rPh sb="5" eb="7">
      <t>カクニン</t>
    </rPh>
    <phoneticPr fontId="4"/>
  </si>
  <si>
    <t>買い物のときは買い物袋を持参する</t>
  </si>
  <si>
    <t>エコマーク商品など環境にいい商品を意識的に選んで購入する</t>
    <rPh sb="9" eb="11">
      <t>カンキョウ</t>
    </rPh>
    <rPh sb="14" eb="16">
      <t>ショウヒン</t>
    </rPh>
    <phoneticPr fontId="3"/>
  </si>
  <si>
    <t>リサイクルや、各自治体の分別収集のルールを守る</t>
  </si>
  <si>
    <t>近い所へは徒歩や自転車を使い、自動車の使用はひかえる</t>
  </si>
  <si>
    <t>集計レポート</t>
    <rPh sb="0" eb="2">
      <t>シュウケイ</t>
    </rPh>
    <phoneticPr fontId="3"/>
  </si>
  <si>
    <t>平均点</t>
    <rPh sb="0" eb="3">
      <t>ヘイキンテン</t>
    </rPh>
    <phoneticPr fontId="3"/>
  </si>
  <si>
    <t>■取り組みチェック</t>
    <rPh sb="1" eb="2">
      <t>ト</t>
    </rPh>
    <rPh sb="3" eb="4">
      <t>ク</t>
    </rPh>
    <phoneticPr fontId="3"/>
  </si>
  <si>
    <t>できている</t>
  </si>
  <si>
    <t>軸</t>
    <rPh sb="0" eb="1">
      <t>ジク</t>
    </rPh>
    <phoneticPr fontId="3"/>
  </si>
  <si>
    <t>（７）グラフ平均表示</t>
    <rPh sb="6" eb="8">
      <t>ヘイキン</t>
    </rPh>
    <rPh sb="8" eb="10">
      <t>ヒョウジ</t>
    </rPh>
    <phoneticPr fontId="3"/>
  </si>
  <si>
    <t>※取り組みグラフに記入者の平均を表示する</t>
    <rPh sb="1" eb="2">
      <t>ト</t>
    </rPh>
    <rPh sb="3" eb="4">
      <t>ク</t>
    </rPh>
    <rPh sb="9" eb="11">
      <t>キニュウ</t>
    </rPh>
    <rPh sb="11" eb="12">
      <t>シャ</t>
    </rPh>
    <rPh sb="13" eb="15">
      <t>ヘイキン</t>
    </rPh>
    <rPh sb="16" eb="18">
      <t>ヒョウジ</t>
    </rPh>
    <phoneticPr fontId="3"/>
  </si>
  <si>
    <t>表示する</t>
    <rPh sb="0" eb="2">
      <t>ヒョウジ</t>
    </rPh>
    <phoneticPr fontId="3"/>
  </si>
  <si>
    <t>表示しない</t>
    <rPh sb="0" eb="2">
      <t>ヒョウジ</t>
    </rPh>
    <phoneticPr fontId="3"/>
  </si>
  <si>
    <t>標準値</t>
    <rPh sb="0" eb="3">
      <t>ヒョウジュンチ</t>
    </rPh>
    <phoneticPr fontId="3"/>
  </si>
  <si>
    <t>■平均光熱費</t>
    <rPh sb="1" eb="3">
      <t>ヘイキン</t>
    </rPh>
    <rPh sb="3" eb="6">
      <t>コウネツヒ</t>
    </rPh>
    <phoneticPr fontId="3"/>
  </si>
  <si>
    <t>1人世帯</t>
    <rPh sb="1" eb="2">
      <t>ニン</t>
    </rPh>
    <rPh sb="2" eb="4">
      <t>セタイ</t>
    </rPh>
    <phoneticPr fontId="3"/>
  </si>
  <si>
    <t>2人世帯</t>
    <rPh sb="1" eb="2">
      <t>ニン</t>
    </rPh>
    <rPh sb="2" eb="4">
      <t>セタイ</t>
    </rPh>
    <phoneticPr fontId="3"/>
  </si>
  <si>
    <t>3人世帯</t>
    <rPh sb="1" eb="2">
      <t>ニン</t>
    </rPh>
    <rPh sb="2" eb="4">
      <t>セタイ</t>
    </rPh>
    <phoneticPr fontId="3"/>
  </si>
  <si>
    <t>4人世帯</t>
    <rPh sb="1" eb="2">
      <t>ニン</t>
    </rPh>
    <rPh sb="2" eb="4">
      <t>セタイ</t>
    </rPh>
    <phoneticPr fontId="3"/>
  </si>
  <si>
    <t>5人世帯</t>
    <rPh sb="1" eb="2">
      <t>ニン</t>
    </rPh>
    <rPh sb="2" eb="4">
      <t>セタイ</t>
    </rPh>
    <phoneticPr fontId="3"/>
  </si>
  <si>
    <t>6人世帯</t>
    <rPh sb="1" eb="2">
      <t>ニン</t>
    </rPh>
    <rPh sb="2" eb="4">
      <t>セタイ</t>
    </rPh>
    <phoneticPr fontId="3"/>
  </si>
  <si>
    <t>世帯人数別光熱費（円/月）</t>
    <rPh sb="0" eb="2">
      <t>セタイ</t>
    </rPh>
    <rPh sb="2" eb="4">
      <t>ニンズウ</t>
    </rPh>
    <rPh sb="4" eb="5">
      <t>ベツ</t>
    </rPh>
    <rPh sb="5" eb="8">
      <t>コウネツヒ</t>
    </rPh>
    <rPh sb="9" eb="10">
      <t>エン</t>
    </rPh>
    <rPh sb="11" eb="12">
      <t>ツキ</t>
    </rPh>
    <phoneticPr fontId="3"/>
  </si>
  <si>
    <t>都市ガス代</t>
    <rPh sb="0" eb="2">
      <t>トシ</t>
    </rPh>
    <rPh sb="4" eb="5">
      <t>ダイ</t>
    </rPh>
    <phoneticPr fontId="3"/>
  </si>
  <si>
    <t>LPガス代</t>
    <rPh sb="4" eb="5">
      <t>ダイ</t>
    </rPh>
    <phoneticPr fontId="3"/>
  </si>
  <si>
    <t>合計</t>
    <rPh sb="0" eb="2">
      <t>ゴウケイ</t>
    </rPh>
    <phoneticPr fontId="3"/>
  </si>
  <si>
    <t>■記入世帯数</t>
    <rPh sb="1" eb="3">
      <t>キニュウ</t>
    </rPh>
    <rPh sb="3" eb="5">
      <t>セタイ</t>
    </rPh>
    <rPh sb="5" eb="6">
      <t>スウ</t>
    </rPh>
    <phoneticPr fontId="3"/>
  </si>
  <si>
    <t>世帯数</t>
    <rPh sb="0" eb="3">
      <t>セタイスウ</t>
    </rPh>
    <phoneticPr fontId="3"/>
  </si>
  <si>
    <t>平均光熱費
（円/月）</t>
    <rPh sb="0" eb="2">
      <t>ヘイキン</t>
    </rPh>
    <rPh sb="2" eb="5">
      <t>コウネツヒ</t>
    </rPh>
    <rPh sb="7" eb="8">
      <t>エン</t>
    </rPh>
    <rPh sb="9" eb="10">
      <t>ツキ</t>
    </rPh>
    <phoneticPr fontId="3"/>
  </si>
  <si>
    <t>回答人数（人）</t>
    <rPh sb="0" eb="2">
      <t>カイトウ</t>
    </rPh>
    <rPh sb="2" eb="4">
      <t>ニンズウ</t>
    </rPh>
    <rPh sb="5" eb="6">
      <t>ニン</t>
    </rPh>
    <phoneticPr fontId="3"/>
  </si>
  <si>
    <t>100点満点換算</t>
    <rPh sb="3" eb="4">
      <t>テン</t>
    </rPh>
    <rPh sb="4" eb="6">
      <t>マンテン</t>
    </rPh>
    <rPh sb="6" eb="8">
      <t>カンサン</t>
    </rPh>
    <phoneticPr fontId="3"/>
  </si>
  <si>
    <t>オール電化</t>
    <rPh sb="3" eb="5">
      <t>デンカ</t>
    </rPh>
    <phoneticPr fontId="3"/>
  </si>
  <si>
    <t>オール電化なら1</t>
    <phoneticPr fontId="3"/>
  </si>
  <si>
    <t>1/空白</t>
    <rPh sb="2" eb="4">
      <t>クウハク</t>
    </rPh>
    <phoneticPr fontId="3"/>
  </si>
  <si>
    <t>はい・いいえ</t>
    <phoneticPr fontId="3"/>
  </si>
  <si>
    <t xml:space="preserve">
</t>
    <phoneticPr fontId="3"/>
  </si>
  <si>
    <t>あなた</t>
    <phoneticPr fontId="3"/>
  </si>
  <si>
    <t xml:space="preserve"> </t>
    <phoneticPr fontId="3"/>
  </si>
  <si>
    <t>テレビは点けっぱなしにせず、見たい番組のときだけ点ける</t>
    <rPh sb="4" eb="5">
      <t>テン</t>
    </rPh>
    <rPh sb="24" eb="25">
      <t>テン</t>
    </rPh>
    <phoneticPr fontId="3"/>
  </si>
  <si>
    <t>冷暖房の設定を控えめにする（冷房は28℃、暖房は20℃が目安）</t>
    <rPh sb="0" eb="3">
      <t>レイダンボウ</t>
    </rPh>
    <rPh sb="4" eb="6">
      <t>セッテイ</t>
    </rPh>
    <rPh sb="7" eb="8">
      <t>ヒカ</t>
    </rPh>
    <rPh sb="14" eb="16">
      <t>レイボウ</t>
    </rPh>
    <rPh sb="21" eb="23">
      <t>ダンボウ</t>
    </rPh>
    <rPh sb="28" eb="30">
      <t>メヤス</t>
    </rPh>
    <phoneticPr fontId="4"/>
  </si>
  <si>
    <t>環境省「地球温暖化対策の推進に関する法律施行令」</t>
    <phoneticPr fontId="3"/>
  </si>
  <si>
    <t>日本 LP ガス協会「プロパン、ブタン、LPガスのCO2 排出原単位に係るガイドライン」</t>
    <phoneticPr fontId="3"/>
  </si>
  <si>
    <t>都市部</t>
    <rPh sb="0" eb="3">
      <t>トシブ</t>
    </rPh>
    <phoneticPr fontId="3"/>
  </si>
  <si>
    <t>郊外</t>
    <rPh sb="0" eb="2">
      <t>コウガイ</t>
    </rPh>
    <phoneticPr fontId="3"/>
  </si>
  <si>
    <t>はい　・　いいえ</t>
    <phoneticPr fontId="3"/>
  </si>
  <si>
    <t>【4】鉄道やバスを利用しやすい地域ですか</t>
    <rPh sb="3" eb="5">
      <t>テツドウ</t>
    </rPh>
    <rPh sb="9" eb="11">
      <t>リヨウ</t>
    </rPh>
    <rPh sb="15" eb="17">
      <t>チイキ</t>
    </rPh>
    <phoneticPr fontId="3"/>
  </si>
  <si>
    <t>2001～2007年の平均</t>
    <rPh sb="9" eb="10">
      <t>ネン</t>
    </rPh>
    <rPh sb="11" eb="13">
      <t>ヘイキン</t>
    </rPh>
    <phoneticPr fontId="3"/>
  </si>
  <si>
    <t>当時単価</t>
    <rPh sb="0" eb="2">
      <t>トウジ</t>
    </rPh>
    <rPh sb="2" eb="4">
      <t>タンカ</t>
    </rPh>
    <phoneticPr fontId="3"/>
  </si>
  <si>
    <r>
      <t>※平成1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年の平均（家計調査）</t>
    </r>
    <rPh sb="1" eb="3">
      <t>ヘイセイ</t>
    </rPh>
    <rPh sb="8" eb="9">
      <t>ネン</t>
    </rPh>
    <rPh sb="10" eb="12">
      <t>ヘイキン</t>
    </rPh>
    <rPh sb="13" eb="15">
      <t>カケイ</t>
    </rPh>
    <rPh sb="15" eb="17">
      <t>チョウサ</t>
    </rPh>
    <phoneticPr fontId="3"/>
  </si>
  <si>
    <t>■都市部郊外比率</t>
    <rPh sb="1" eb="4">
      <t>トシブ</t>
    </rPh>
    <rPh sb="4" eb="6">
      <t>コウガイ</t>
    </rPh>
    <rPh sb="6" eb="8">
      <t>ヒリツ</t>
    </rPh>
    <phoneticPr fontId="3"/>
  </si>
  <si>
    <t>郊外補正</t>
    <rPh sb="0" eb="2">
      <t>コウガイ</t>
    </rPh>
    <rPh sb="2" eb="4">
      <t>ホセイ</t>
    </rPh>
    <phoneticPr fontId="3"/>
  </si>
  <si>
    <t>※2011年9月修正（うちエコと同じにする）</t>
    <rPh sb="5" eb="6">
      <t>ネン</t>
    </rPh>
    <rPh sb="7" eb="8">
      <t>ガツ</t>
    </rPh>
    <rPh sb="8" eb="10">
      <t>シュウセイ</t>
    </rPh>
    <rPh sb="16" eb="17">
      <t>オナ</t>
    </rPh>
    <phoneticPr fontId="3"/>
  </si>
  <si>
    <t>都市部1、郊外2</t>
    <rPh sb="0" eb="3">
      <t>トシブ</t>
    </rPh>
    <rPh sb="5" eb="7">
      <t>コウガイ</t>
    </rPh>
    <phoneticPr fontId="3"/>
  </si>
  <si>
    <t>■オール電化の推計</t>
    <rPh sb="4" eb="6">
      <t>デンカ</t>
    </rPh>
    <rPh sb="7" eb="9">
      <t>スイケイ</t>
    </rPh>
    <phoneticPr fontId="3"/>
  </si>
  <si>
    <t>あなた</t>
    <phoneticPr fontId="3"/>
  </si>
  <si>
    <t>平均</t>
    <rPh sb="0" eb="2">
      <t>ヘイキン</t>
    </rPh>
    <phoneticPr fontId="3"/>
  </si>
  <si>
    <r>
      <t>※価格補正（都市ガスは補正なし） 電気は</t>
    </r>
    <r>
      <rPr>
        <sz val="11"/>
        <rFont val="ＭＳ Ｐゴシック"/>
        <family val="3"/>
        <charset val="128"/>
      </rPr>
      <t>400kWhとして単価比較</t>
    </r>
    <rPh sb="1" eb="3">
      <t>カカク</t>
    </rPh>
    <rPh sb="3" eb="5">
      <t>ホセイ</t>
    </rPh>
    <rPh sb="6" eb="8">
      <t>トシ</t>
    </rPh>
    <rPh sb="11" eb="13">
      <t>ホセイ</t>
    </rPh>
    <rPh sb="17" eb="19">
      <t>デンキ</t>
    </rPh>
    <rPh sb="29" eb="31">
      <t>タンカ</t>
    </rPh>
    <rPh sb="31" eb="33">
      <t>ヒカク</t>
    </rPh>
    <phoneticPr fontId="3"/>
  </si>
  <si>
    <r>
      <t>m</t>
    </r>
    <r>
      <rPr>
        <sz val="11"/>
        <rFont val="ＭＳ Ｐゴシック"/>
        <family val="3"/>
        <charset val="128"/>
      </rPr>
      <t>3</t>
    </r>
    <phoneticPr fontId="3"/>
  </si>
  <si>
    <r>
      <t>k</t>
    </r>
    <r>
      <rPr>
        <sz val="11"/>
        <rFont val="ＭＳ Ｐゴシック"/>
        <family val="3"/>
        <charset val="128"/>
      </rPr>
      <t>cal/月</t>
    </r>
    <rPh sb="5" eb="6">
      <t>ツキ</t>
    </rPh>
    <phoneticPr fontId="3"/>
  </si>
  <si>
    <r>
      <t>k</t>
    </r>
    <r>
      <rPr>
        <sz val="11"/>
        <rFont val="ＭＳ Ｐゴシック"/>
        <family val="3"/>
        <charset val="128"/>
      </rPr>
      <t>Wh/月</t>
    </r>
    <rPh sb="4" eb="5">
      <t>ツキ</t>
    </rPh>
    <phoneticPr fontId="3"/>
  </si>
  <si>
    <t>電気換算</t>
    <rPh sb="0" eb="2">
      <t>デンキ</t>
    </rPh>
    <rPh sb="2" eb="4">
      <t>カンサン</t>
    </rPh>
    <phoneticPr fontId="3"/>
  </si>
  <si>
    <t>円/月</t>
    <rPh sb="0" eb="1">
      <t>エン</t>
    </rPh>
    <rPh sb="2" eb="3">
      <t>ツキ</t>
    </rPh>
    <phoneticPr fontId="3"/>
  </si>
  <si>
    <t>電気代換算</t>
    <rPh sb="0" eb="3">
      <t>デンキダイ</t>
    </rPh>
    <rPh sb="3" eb="5">
      <t>カンサン</t>
    </rPh>
    <phoneticPr fontId="3"/>
  </si>
  <si>
    <t>※オール電化の場合には、電気＋LPガスとして集計</t>
    <rPh sb="4" eb="6">
      <t>デンカ</t>
    </rPh>
    <rPh sb="7" eb="9">
      <t>バアイ</t>
    </rPh>
    <rPh sb="12" eb="14">
      <t>デンキ</t>
    </rPh>
    <rPh sb="22" eb="24">
      <t>シュウケイ</t>
    </rPh>
    <phoneticPr fontId="3"/>
  </si>
  <si>
    <t>もとの電気の消費量</t>
    <rPh sb="3" eb="5">
      <t>デンキ</t>
    </rPh>
    <rPh sb="6" eb="9">
      <t>ショウヒリョウ</t>
    </rPh>
    <phoneticPr fontId="3"/>
  </si>
  <si>
    <t>もとの電気代</t>
    <rPh sb="3" eb="5">
      <t>デンキ</t>
    </rPh>
    <rPh sb="5" eb="6">
      <t>ダイ</t>
    </rPh>
    <phoneticPr fontId="3"/>
  </si>
  <si>
    <r>
      <t>k</t>
    </r>
    <r>
      <rPr>
        <sz val="11"/>
        <rFont val="ＭＳ Ｐゴシック"/>
        <family val="3"/>
        <charset val="128"/>
      </rPr>
      <t>Wh/月</t>
    </r>
    <rPh sb="4" eb="5">
      <t>ツキ</t>
    </rPh>
    <phoneticPr fontId="3"/>
  </si>
  <si>
    <t>円</t>
    <rPh sb="0" eb="1">
      <t>エン</t>
    </rPh>
    <phoneticPr fontId="3"/>
  </si>
  <si>
    <t>■オール電化世帯</t>
    <rPh sb="4" eb="6">
      <t>デンカ</t>
    </rPh>
    <rPh sb="6" eb="8">
      <t>セタイ</t>
    </rPh>
    <phoneticPr fontId="3"/>
  </si>
  <si>
    <t>■都市部郊外別</t>
    <rPh sb="1" eb="4">
      <t>トシブ</t>
    </rPh>
    <rPh sb="4" eb="6">
      <t>コウガイ</t>
    </rPh>
    <rPh sb="6" eb="7">
      <t>ベツ</t>
    </rPh>
    <phoneticPr fontId="3"/>
  </si>
  <si>
    <t>オール電化世帯</t>
    <rPh sb="3" eb="5">
      <t>デンカ</t>
    </rPh>
    <rPh sb="5" eb="7">
      <t>セタイ</t>
    </rPh>
    <phoneticPr fontId="3"/>
  </si>
  <si>
    <t>ガス併用世帯</t>
    <rPh sb="2" eb="4">
      <t>ヘイヨウ</t>
    </rPh>
    <rPh sb="4" eb="6">
      <t>セタイ</t>
    </rPh>
    <phoneticPr fontId="3"/>
  </si>
  <si>
    <t>1はい
2いいえ</t>
    <phoneticPr fontId="3"/>
  </si>
  <si>
    <t>鉄道バスを使いやすい</t>
    <rPh sb="0" eb="2">
      <t>テツドウ</t>
    </rPh>
    <rPh sb="5" eb="6">
      <t>ツカ</t>
    </rPh>
    <phoneticPr fontId="3"/>
  </si>
  <si>
    <t>※白色の欄に記入をすることができます。列の挿入・削除は行わないでください。</t>
    <rPh sb="19" eb="20">
      <t>レツ</t>
    </rPh>
    <rPh sb="21" eb="23">
      <t>ソウニュウ</t>
    </rPh>
    <rPh sb="24" eb="26">
      <t>サクジョ</t>
    </rPh>
    <rPh sb="27" eb="28">
      <t>オコナ</t>
    </rPh>
    <phoneticPr fontId="3"/>
  </si>
  <si>
    <t>全国</t>
  </si>
  <si>
    <t>現在単価</t>
    <rPh sb="0" eb="2">
      <t>ゲンザイ</t>
    </rPh>
    <rPh sb="2" eb="4">
      <t>タンカ</t>
    </rPh>
    <phoneticPr fontId="3"/>
  </si>
  <si>
    <t>マージナル係数</t>
    <rPh sb="5" eb="7">
      <t>ケイスウ</t>
    </rPh>
    <phoneticPr fontId="3"/>
  </si>
  <si>
    <t>範囲2</t>
    <rPh sb="0" eb="2">
      <t>ハンイ</t>
    </rPh>
    <phoneticPr fontId="3"/>
  </si>
  <si>
    <t>LPガス基本</t>
    <rPh sb="4" eb="6">
      <t>キホン</t>
    </rPh>
    <phoneticPr fontId="3"/>
  </si>
  <si>
    <t>LPガス単価</t>
    <rPh sb="4" eb="6">
      <t>タンカ</t>
    </rPh>
    <phoneticPr fontId="3"/>
  </si>
  <si>
    <t>ガスの消費量を算出する。旧単価をもとに</t>
    <rPh sb="3" eb="6">
      <t>ショウヒリョウ</t>
    </rPh>
    <rPh sb="7" eb="9">
      <t>サンシュツ</t>
    </rPh>
    <rPh sb="12" eb="13">
      <t>キュウ</t>
    </rPh>
    <rPh sb="13" eb="15">
      <t>タンカ</t>
    </rPh>
    <phoneticPr fontId="3"/>
  </si>
  <si>
    <t>ガスの消費量分を、夜間契約電気代換算</t>
    <rPh sb="9" eb="11">
      <t>ヤカン</t>
    </rPh>
    <rPh sb="11" eb="13">
      <t>ケイヤク</t>
    </rPh>
    <rPh sb="13" eb="16">
      <t>デンキダイ</t>
    </rPh>
    <rPh sb="16" eb="18">
      <t>カンサン</t>
    </rPh>
    <phoneticPr fontId="3"/>
  </si>
  <si>
    <t>※オール電化はエネルギー量ベース補正、給湯＋電気の2割が夜間</t>
    <rPh sb="4" eb="6">
      <t>デンカ</t>
    </rPh>
    <rPh sb="12" eb="13">
      <t>リョウ</t>
    </rPh>
    <rPh sb="16" eb="18">
      <t>ホセイ</t>
    </rPh>
    <rPh sb="19" eb="21">
      <t>キュウトウ</t>
    </rPh>
    <rPh sb="22" eb="24">
      <t>デンキ</t>
    </rPh>
    <rPh sb="26" eb="27">
      <t>ワリ</t>
    </rPh>
    <rPh sb="28" eb="30">
      <t>ヤカン</t>
    </rPh>
    <phoneticPr fontId="3"/>
  </si>
  <si>
    <t>夜間電気の単価</t>
    <rPh sb="5" eb="7">
      <t>タンカ</t>
    </rPh>
    <phoneticPr fontId="3"/>
  </si>
  <si>
    <t>通常契約の単価との比率</t>
    <rPh sb="0" eb="4">
      <t>ツウジョウケイヤク</t>
    </rPh>
    <rPh sb="9" eb="11">
      <t>ヒリツ</t>
    </rPh>
    <phoneticPr fontId="3"/>
  </si>
  <si>
    <t>夜間契約の基本料金</t>
    <rPh sb="5" eb="9">
      <t>キホンリョウキン</t>
    </rPh>
    <phoneticPr fontId="3"/>
  </si>
  <si>
    <t>範囲2：120～300kWh</t>
    <rPh sb="0" eb="2">
      <t>ハンイ</t>
    </rPh>
    <phoneticPr fontId="4"/>
  </si>
  <si>
    <t>範囲3：300kWh以上</t>
    <rPh sb="0" eb="2">
      <t>ハンイ</t>
    </rPh>
    <rPh sb="10" eb="12">
      <t>イジョウ</t>
    </rPh>
    <phoneticPr fontId="4"/>
  </si>
  <si>
    <t>範囲2：20～50m3</t>
    <rPh sb="0" eb="2">
      <t>ハンイ</t>
    </rPh>
    <phoneticPr fontId="4"/>
  </si>
  <si>
    <t>範囲3：50m3以上</t>
    <rPh sb="0" eb="2">
      <t>ハンイ</t>
    </rPh>
    <rPh sb="8" eb="10">
      <t>イジョウ</t>
    </rPh>
    <phoneticPr fontId="4"/>
  </si>
  <si>
    <t>範囲1：</t>
    <rPh sb="0" eb="2">
      <t>ハンイ</t>
    </rPh>
    <phoneticPr fontId="4"/>
  </si>
  <si>
    <r>
      <t>基本料金</t>
    </r>
    <r>
      <rPr>
        <sz val="8"/>
        <rFont val="ＭＳ Ｐゴシック"/>
        <family val="3"/>
        <charset val="128"/>
      </rPr>
      <t>（円）</t>
    </r>
    <rPh sb="0" eb="4">
      <t>キホンリョウキン</t>
    </rPh>
    <rPh sb="5" eb="6">
      <t>エン</t>
    </rPh>
    <phoneticPr fontId="3"/>
  </si>
  <si>
    <t>（単位kWh)</t>
    <rPh sb="1" eb="3">
      <t>タンイ</t>
    </rPh>
    <phoneticPr fontId="3"/>
  </si>
  <si>
    <t>（単位　m3)</t>
    <rPh sb="1" eb="3">
      <t>タンイ</t>
    </rPh>
    <phoneticPr fontId="3"/>
  </si>
  <si>
    <t>灯油（単位L)</t>
    <rPh sb="0" eb="2">
      <t>トウユ</t>
    </rPh>
    <rPh sb="3" eb="5">
      <t>タンイ</t>
    </rPh>
    <phoneticPr fontId="3"/>
  </si>
  <si>
    <t>ガソリン（単位L)</t>
    <rPh sb="5" eb="7">
      <t>タンイ</t>
    </rPh>
    <phoneticPr fontId="3"/>
  </si>
  <si>
    <r>
      <t>従量電灯Bの場合、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000円まで20A、</t>
    </r>
    <r>
      <rPr>
        <sz val="11"/>
        <rFont val="ＭＳ Ｐゴシック"/>
        <family val="3"/>
        <charset val="128"/>
      </rPr>
      <t>2万で60A</t>
    </r>
    <rPh sb="0" eb="4">
      <t>ジュウリョウデントウ</t>
    </rPh>
    <rPh sb="6" eb="8">
      <t>バアイ</t>
    </rPh>
    <rPh sb="13" eb="14">
      <t>エン</t>
    </rPh>
    <rPh sb="21" eb="22">
      <t>マン</t>
    </rPh>
    <phoneticPr fontId="3"/>
  </si>
  <si>
    <t>10Aあたりの基本料金　（従量電灯Bの場合記入）</t>
    <rPh sb="7" eb="11">
      <t>キホンリョウキン</t>
    </rPh>
    <rPh sb="13" eb="17">
      <t>ジュウリョウデントウ</t>
    </rPh>
    <rPh sb="19" eb="21">
      <t>バアイ</t>
    </rPh>
    <rPh sb="21" eb="23">
      <t>キニュウ</t>
    </rPh>
    <phoneticPr fontId="4"/>
  </si>
  <si>
    <t>最低料金　（従量電灯A　関西・中国・四国・沖縄電力の場合記入）</t>
    <rPh sb="0" eb="2">
      <t>サイテイ</t>
    </rPh>
    <rPh sb="2" eb="4">
      <t>リョウキン</t>
    </rPh>
    <rPh sb="6" eb="10">
      <t>ジュウリョウデントウ</t>
    </rPh>
    <rPh sb="12" eb="14">
      <t>カンサイ</t>
    </rPh>
    <rPh sb="15" eb="17">
      <t>チュウゴク</t>
    </rPh>
    <rPh sb="18" eb="20">
      <t>シコク</t>
    </rPh>
    <rPh sb="21" eb="23">
      <t>オキナワ</t>
    </rPh>
    <rPh sb="23" eb="25">
      <t>デンリョク</t>
    </rPh>
    <rPh sb="26" eb="28">
      <t>バアイ</t>
    </rPh>
    <rPh sb="28" eb="30">
      <t>キニュウ</t>
    </rPh>
    <phoneticPr fontId="3"/>
  </si>
  <si>
    <r>
      <t>min(6,</t>
    </r>
    <r>
      <rPr>
        <sz val="11"/>
        <rFont val="ＭＳ Ｐゴシック"/>
        <family val="3"/>
        <charset val="128"/>
      </rPr>
      <t>1+</t>
    </r>
    <r>
      <rPr>
        <sz val="11"/>
        <rFont val="ＭＳ Ｐゴシック"/>
        <family val="3"/>
        <charset val="128"/>
      </rPr>
      <t>int</t>
    </r>
    <r>
      <rPr>
        <sz val="11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金額</t>
    </r>
    <r>
      <rPr>
        <sz val="11"/>
        <rFont val="ＭＳ Ｐゴシック"/>
        <family val="3"/>
        <charset val="128"/>
      </rPr>
      <t>+2000)</t>
    </r>
    <r>
      <rPr>
        <sz val="11"/>
        <rFont val="ＭＳ Ｐゴシック"/>
        <family val="3"/>
        <charset val="128"/>
      </rPr>
      <t>÷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000）</t>
    </r>
    <r>
      <rPr>
        <sz val="11"/>
        <rFont val="ＭＳ Ｐゴシック"/>
        <family val="3"/>
        <charset val="128"/>
      </rPr>
      <t>)</t>
    </r>
    <rPh sb="13" eb="15">
      <t>キンガク</t>
    </rPh>
    <phoneticPr fontId="3"/>
  </si>
  <si>
    <t>うちエコ2015</t>
    <phoneticPr fontId="3"/>
  </si>
  <si>
    <t>※価格設定が大きく変わる場合、地域が変更される場合には、料金体系をみて変更してください。</t>
    <rPh sb="1" eb="3">
      <t>カカク</t>
    </rPh>
    <rPh sb="3" eb="5">
      <t>セッテイ</t>
    </rPh>
    <rPh sb="6" eb="7">
      <t>オオ</t>
    </rPh>
    <rPh sb="9" eb="10">
      <t>カ</t>
    </rPh>
    <rPh sb="12" eb="14">
      <t>バアイ</t>
    </rPh>
    <rPh sb="15" eb="17">
      <t>チイキ</t>
    </rPh>
    <rPh sb="18" eb="20">
      <t>ヘンコウ</t>
    </rPh>
    <rPh sb="23" eb="25">
      <t>バアイ</t>
    </rPh>
    <rPh sb="28" eb="32">
      <t>リョウキンタイケイ</t>
    </rPh>
    <rPh sb="35" eb="37">
      <t>ヘンコウ</t>
    </rPh>
    <phoneticPr fontId="3"/>
  </si>
  <si>
    <t>※関西電力など、従量電灯Aの場合、最低料金を設定してください。10Aあたりには記入しないでください。</t>
    <rPh sb="1" eb="3">
      <t>カンサイ</t>
    </rPh>
    <rPh sb="3" eb="5">
      <t>デンリョク</t>
    </rPh>
    <rPh sb="8" eb="12">
      <t>ジュウリョウデントウ</t>
    </rPh>
    <rPh sb="14" eb="16">
      <t>バアイ</t>
    </rPh>
    <rPh sb="17" eb="19">
      <t>サイテイ</t>
    </rPh>
    <rPh sb="19" eb="21">
      <t>リョウキン</t>
    </rPh>
    <rPh sb="22" eb="24">
      <t>セッテイ</t>
    </rPh>
    <rPh sb="39" eb="41">
      <t>キニュウ</t>
    </rPh>
    <phoneticPr fontId="3"/>
  </si>
  <si>
    <t>※東京電力など、従量電灯Bの場合、契約アンペア10Aあたりの基本料金を設定してください。</t>
    <rPh sb="1" eb="3">
      <t>トウキョウ</t>
    </rPh>
    <rPh sb="3" eb="5">
      <t>デンリョク</t>
    </rPh>
    <rPh sb="8" eb="12">
      <t>ジュウリョウデントウ</t>
    </rPh>
    <rPh sb="14" eb="16">
      <t>バアイ</t>
    </rPh>
    <rPh sb="17" eb="19">
      <t>ケイヤク</t>
    </rPh>
    <rPh sb="30" eb="32">
      <t>キホン</t>
    </rPh>
    <rPh sb="32" eb="34">
      <t>リョウキン</t>
    </rPh>
    <rPh sb="35" eb="37">
      <t>セッテイ</t>
    </rPh>
    <phoneticPr fontId="3"/>
  </si>
  <si>
    <t>※電気・ガスの消費量範囲は、少ない順に並べ、F列に各範囲の最大消費量を記載します。</t>
    <rPh sb="1" eb="3">
      <t>デンキ</t>
    </rPh>
    <rPh sb="7" eb="10">
      <t>ショウヒリョウ</t>
    </rPh>
    <rPh sb="10" eb="12">
      <t>ハンイ</t>
    </rPh>
    <rPh sb="14" eb="15">
      <t>スク</t>
    </rPh>
    <rPh sb="17" eb="18">
      <t>ジュン</t>
    </rPh>
    <rPh sb="19" eb="20">
      <t>ナラ</t>
    </rPh>
    <rPh sb="23" eb="24">
      <t>レツ</t>
    </rPh>
    <rPh sb="25" eb="26">
      <t>カク</t>
    </rPh>
    <rPh sb="26" eb="28">
      <t>ハンイ</t>
    </rPh>
    <rPh sb="29" eb="31">
      <t>サイダイ</t>
    </rPh>
    <rPh sb="31" eb="34">
      <t>ショウヒリョウ</t>
    </rPh>
    <rPh sb="35" eb="37">
      <t>キサイ</t>
    </rPh>
    <phoneticPr fontId="3"/>
  </si>
  <si>
    <t>範囲1：15～120kWh　関西電力2015年7月</t>
    <rPh sb="0" eb="2">
      <t>ハンイ</t>
    </rPh>
    <rPh sb="14" eb="18">
      <t>カンサイデンリョク</t>
    </rPh>
    <rPh sb="22" eb="23">
      <t>ネン</t>
    </rPh>
    <rPh sb="24" eb="25">
      <t>ガツ</t>
    </rPh>
    <phoneticPr fontId="4"/>
  </si>
  <si>
    <t>範囲1：20m3未満　　　大阪ガス2017年6月</t>
    <rPh sb="0" eb="2">
      <t>ハンイ</t>
    </rPh>
    <rPh sb="8" eb="10">
      <t>ミマン</t>
    </rPh>
    <rPh sb="13" eb="15">
      <t>オオサカ</t>
    </rPh>
    <rPh sb="21" eb="22">
      <t>ネン</t>
    </rPh>
    <rPh sb="23" eb="24">
      <t>ガツ</t>
    </rPh>
    <phoneticPr fontId="4"/>
  </si>
  <si>
    <t>燃料調整費 2017年6月 ＋再生可能ネルギー促進負担金</t>
    <rPh sb="0" eb="5">
      <t>ネンリョウチョウセイヒ</t>
    </rPh>
    <rPh sb="10" eb="11">
      <t>ネン</t>
    </rPh>
    <rPh sb="12" eb="13">
      <t>ガツ</t>
    </rPh>
    <phoneticPr fontId="3"/>
  </si>
  <si>
    <t>(有)ひのでやエコライフ研究所（http://www.hinodeya-ecolife.com） 2006-2019</t>
    <rPh sb="0" eb="3">
      <t>ユウ</t>
    </rPh>
    <rPh sb="12" eb="15">
      <t>ケンキュウジョ</t>
    </rPh>
    <phoneticPr fontId="3"/>
  </si>
  <si>
    <t>エコライフチェック2019</t>
    <phoneticPr fontId="3"/>
  </si>
  <si>
    <r>
      <t>※電気温水器とecoキュートの中間　</t>
    </r>
    <r>
      <rPr>
        <sz val="11"/>
        <rFont val="ＭＳ Ｐゴシック"/>
        <family val="3"/>
        <charset val="128"/>
      </rPr>
      <t>360kWh給湯・355kWhほか（うち3割夜間）→3割が夜間（3分の1）</t>
    </r>
    <rPh sb="1" eb="3">
      <t>デンキ</t>
    </rPh>
    <rPh sb="3" eb="6">
      <t>オンスイキ</t>
    </rPh>
    <rPh sb="15" eb="17">
      <t>チュウカン</t>
    </rPh>
    <rPh sb="24" eb="26">
      <t>キュウトウ</t>
    </rPh>
    <rPh sb="39" eb="40">
      <t>ワリ</t>
    </rPh>
    <rPh sb="40" eb="42">
      <t>ヤカン</t>
    </rPh>
    <rPh sb="45" eb="46">
      <t>ワリ</t>
    </rPh>
    <rPh sb="47" eb="49">
      <t>ヤカン</t>
    </rPh>
    <rPh sb="51" eb="52">
      <t>ブン</t>
    </rPh>
    <phoneticPr fontId="3"/>
  </si>
  <si>
    <t>IF(AB6=1,H52*(355*0.7/(355*0.7+(360+355*0.3)/3))+H52*((360+355*0.3)/3/(355*0.7+(360+355*0.3)/3))*3,H52)*初期設定!D65</t>
  </si>
  <si>
    <t>ver.1.28 2019年9月20日</t>
    <rPh sb="13" eb="14">
      <t>ネン</t>
    </rPh>
    <rPh sb="15" eb="16">
      <t>ガツ</t>
    </rPh>
    <rPh sb="18" eb="1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</si>
</sst>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.0;[Red]\-#,##0.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Arial"/>
      <family val="2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20" fontId="0" fillId="2" borderId="0" xfId="0" applyNumberFormat="1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7" xfId="0" applyFill="1" applyBorder="1" applyAlignment="1">
      <alignment horizontal="center"/>
    </xf>
    <xf numFmtId="0" fontId="0" fillId="0" borderId="4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14" xfId="0" applyFill="1" applyBorder="1">
      <alignment vertical="center"/>
    </xf>
    <xf numFmtId="0" fontId="7" fillId="5" borderId="12" xfId="0" applyFont="1" applyFill="1" applyBorder="1">
      <alignment vertical="center"/>
    </xf>
    <xf numFmtId="14" fontId="0" fillId="5" borderId="12" xfId="0" applyNumberFormat="1" applyFill="1" applyBorder="1" applyAlignment="1">
      <alignment horizontal="right" vertical="center"/>
    </xf>
    <xf numFmtId="0" fontId="0" fillId="6" borderId="0" xfId="0" applyFill="1">
      <alignment vertical="center"/>
    </xf>
    <xf numFmtId="0" fontId="12" fillId="6" borderId="0" xfId="0" applyFont="1" applyFill="1">
      <alignment vertical="center"/>
    </xf>
    <xf numFmtId="0" fontId="0" fillId="6" borderId="0" xfId="0" applyFill="1" applyAlignment="1">
      <alignment horizontal="right" vertical="center"/>
    </xf>
    <xf numFmtId="0" fontId="0" fillId="6" borderId="0" xfId="0" applyFill="1" applyProtection="1">
      <alignment vertical="center"/>
      <protection hidden="1"/>
    </xf>
    <xf numFmtId="0" fontId="11" fillId="6" borderId="0" xfId="0" applyFont="1" applyFill="1" applyAlignment="1" applyProtection="1">
      <alignment horizontal="centerContinuous" vertical="center"/>
      <protection hidden="1"/>
    </xf>
    <xf numFmtId="0" fontId="0" fillId="6" borderId="0" xfId="0" applyFill="1" applyAlignment="1" applyProtection="1">
      <alignment horizontal="centerContinuous" vertical="center"/>
      <protection hidden="1"/>
    </xf>
    <xf numFmtId="0" fontId="8" fillId="6" borderId="0" xfId="0" applyFont="1" applyFill="1" applyProtection="1">
      <alignment vertical="center"/>
      <protection hidden="1"/>
    </xf>
    <xf numFmtId="0" fontId="0" fillId="3" borderId="7" xfId="0" applyFill="1" applyBorder="1" applyProtection="1">
      <alignment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8" fillId="6" borderId="7" xfId="0" applyFont="1" applyFill="1" applyBorder="1" applyAlignment="1" applyProtection="1">
      <alignment horizontal="right" vertical="center"/>
      <protection hidden="1"/>
    </xf>
    <xf numFmtId="0" fontId="9" fillId="6" borderId="7" xfId="0" applyFont="1" applyFill="1" applyBorder="1" applyProtection="1">
      <alignment vertical="center"/>
      <protection hidden="1"/>
    </xf>
    <xf numFmtId="177" fontId="10" fillId="6" borderId="0" xfId="2" applyNumberFormat="1" applyFont="1" applyFill="1" applyProtection="1">
      <alignment vertical="center"/>
      <protection hidden="1"/>
    </xf>
    <xf numFmtId="38" fontId="10" fillId="6" borderId="0" xfId="2" applyFont="1" applyFill="1" applyProtection="1">
      <alignment vertical="center"/>
      <protection hidden="1"/>
    </xf>
    <xf numFmtId="0" fontId="0" fillId="0" borderId="7" xfId="0" applyFill="1" applyBorder="1" applyProtection="1">
      <alignment vertical="center"/>
      <protection locked="0"/>
    </xf>
    <xf numFmtId="0" fontId="0" fillId="0" borderId="15" xfId="0" applyFill="1" applyBorder="1" applyProtection="1">
      <alignment vertical="center"/>
      <protection locked="0"/>
    </xf>
    <xf numFmtId="20" fontId="0" fillId="0" borderId="11" xfId="0" applyNumberForma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16" xfId="0" applyFill="1" applyBorder="1" applyProtection="1">
      <alignment vertical="center"/>
      <protection locked="0"/>
    </xf>
    <xf numFmtId="0" fontId="0" fillId="0" borderId="9" xfId="0" applyFill="1" applyBorder="1" applyProtection="1">
      <alignment vertical="center"/>
      <protection locked="0"/>
    </xf>
    <xf numFmtId="0" fontId="0" fillId="5" borderId="14" xfId="0" applyFill="1" applyBorder="1" applyProtection="1">
      <alignment vertical="center"/>
      <protection hidden="1"/>
    </xf>
    <xf numFmtId="0" fontId="7" fillId="5" borderId="12" xfId="0" applyFont="1" applyFill="1" applyBorder="1" applyProtection="1">
      <alignment vertical="center"/>
      <protection hidden="1"/>
    </xf>
    <xf numFmtId="0" fontId="0" fillId="5" borderId="12" xfId="0" applyFill="1" applyBorder="1" applyProtection="1">
      <alignment vertical="center"/>
      <protection hidden="1"/>
    </xf>
    <xf numFmtId="14" fontId="0" fillId="5" borderId="12" xfId="0" applyNumberFormat="1" applyFill="1" applyBorder="1" applyAlignment="1" applyProtection="1">
      <alignment horizontal="right" vertical="center"/>
      <protection hidden="1"/>
    </xf>
    <xf numFmtId="0" fontId="0" fillId="5" borderId="13" xfId="0" applyFill="1" applyBorder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4" borderId="4" xfId="0" applyFill="1" applyBorder="1" applyProtection="1">
      <alignment vertical="center"/>
      <protection hidden="1"/>
    </xf>
    <xf numFmtId="38" fontId="0" fillId="7" borderId="15" xfId="2" applyFont="1" applyFill="1" applyBorder="1" applyProtection="1">
      <alignment vertical="center"/>
      <protection hidden="1"/>
    </xf>
    <xf numFmtId="0" fontId="0" fillId="7" borderId="4" xfId="0" applyFill="1" applyBorder="1" applyProtection="1">
      <alignment vertical="center"/>
      <protection hidden="1"/>
    </xf>
    <xf numFmtId="0" fontId="0" fillId="7" borderId="15" xfId="0" applyFill="1" applyBorder="1" applyProtection="1">
      <alignment vertical="center"/>
      <protection hidden="1"/>
    </xf>
    <xf numFmtId="0" fontId="0" fillId="7" borderId="11" xfId="0" applyFill="1" applyBorder="1" applyProtection="1">
      <alignment vertical="center"/>
      <protection hidden="1"/>
    </xf>
    <xf numFmtId="0" fontId="0" fillId="4" borderId="5" xfId="0" applyFill="1" applyBorder="1" applyProtection="1">
      <alignment vertical="center"/>
      <protection hidden="1"/>
    </xf>
    <xf numFmtId="38" fontId="0" fillId="7" borderId="0" xfId="2" applyFont="1" applyFill="1" applyBorder="1" applyProtection="1">
      <alignment vertical="center"/>
      <protection hidden="1"/>
    </xf>
    <xf numFmtId="0" fontId="0" fillId="7" borderId="5" xfId="0" applyFill="1" applyBorder="1" applyProtection="1">
      <alignment vertical="center"/>
      <protection hidden="1"/>
    </xf>
    <xf numFmtId="0" fontId="0" fillId="7" borderId="0" xfId="0" applyFill="1" applyBorder="1" applyProtection="1">
      <alignment vertical="center"/>
      <protection hidden="1"/>
    </xf>
    <xf numFmtId="0" fontId="0" fillId="7" borderId="8" xfId="0" applyFill="1" applyBorder="1" applyProtection="1">
      <alignment vertical="center"/>
      <protection hidden="1"/>
    </xf>
    <xf numFmtId="0" fontId="0" fillId="4" borderId="6" xfId="0" applyFill="1" applyBorder="1" applyProtection="1">
      <alignment vertical="center"/>
      <protection hidden="1"/>
    </xf>
    <xf numFmtId="38" fontId="0" fillId="7" borderId="16" xfId="2" applyFont="1" applyFill="1" applyBorder="1" applyProtection="1">
      <alignment vertical="center"/>
      <protection hidden="1"/>
    </xf>
    <xf numFmtId="0" fontId="0" fillId="7" borderId="6" xfId="0" applyFill="1" applyBorder="1" applyProtection="1">
      <alignment vertical="center"/>
      <protection hidden="1"/>
    </xf>
    <xf numFmtId="0" fontId="0" fillId="7" borderId="16" xfId="0" applyFill="1" applyBorder="1" applyProtection="1">
      <alignment vertical="center"/>
      <protection hidden="1"/>
    </xf>
    <xf numFmtId="0" fontId="0" fillId="7" borderId="9" xfId="0" applyFill="1" applyBorder="1" applyProtection="1">
      <alignment vertical="center"/>
      <protection hidden="1"/>
    </xf>
    <xf numFmtId="0" fontId="0" fillId="4" borderId="1" xfId="0" applyFill="1" applyBorder="1" applyProtection="1">
      <alignment vertical="center"/>
      <protection hidden="1"/>
    </xf>
    <xf numFmtId="0" fontId="0" fillId="4" borderId="15" xfId="0" applyFill="1" applyBorder="1" applyProtection="1">
      <alignment vertical="center"/>
      <protection hidden="1"/>
    </xf>
    <xf numFmtId="0" fontId="0" fillId="4" borderId="2" xfId="0" applyFill="1" applyBorder="1" applyProtection="1">
      <alignment vertical="center"/>
      <protection hidden="1"/>
    </xf>
    <xf numFmtId="0" fontId="0" fillId="4" borderId="0" xfId="0" applyFill="1" applyBorder="1" applyProtection="1">
      <alignment vertical="center"/>
      <protection hidden="1"/>
    </xf>
    <xf numFmtId="0" fontId="0" fillId="4" borderId="7" xfId="0" applyFill="1" applyBorder="1" applyProtection="1">
      <alignment vertical="center"/>
      <protection hidden="1"/>
    </xf>
    <xf numFmtId="0" fontId="6" fillId="4" borderId="2" xfId="0" applyFont="1" applyFill="1" applyBorder="1" applyProtection="1">
      <alignment vertical="center"/>
      <protection hidden="1"/>
    </xf>
    <xf numFmtId="0" fontId="0" fillId="7" borderId="7" xfId="0" applyFill="1" applyBorder="1" applyProtection="1">
      <alignment vertical="center"/>
      <protection hidden="1"/>
    </xf>
    <xf numFmtId="0" fontId="6" fillId="4" borderId="3" xfId="0" applyFont="1" applyFill="1" applyBorder="1" applyProtection="1">
      <alignment vertical="center"/>
      <protection hidden="1"/>
    </xf>
    <xf numFmtId="0" fontId="0" fillId="4" borderId="16" xfId="0" applyFill="1" applyBorder="1" applyProtection="1">
      <alignment vertical="center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5" borderId="4" xfId="0" applyFill="1" applyBorder="1" applyAlignment="1" applyProtection="1">
      <alignment vertical="center" wrapText="1"/>
      <protection hidden="1"/>
    </xf>
    <xf numFmtId="0" fontId="0" fillId="5" borderId="10" xfId="0" applyFill="1" applyBorder="1" applyAlignment="1" applyProtection="1">
      <alignment vertical="center"/>
      <protection hidden="1"/>
    </xf>
    <xf numFmtId="0" fontId="0" fillId="5" borderId="17" xfId="0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vertical="center"/>
      <protection hidden="1"/>
    </xf>
    <xf numFmtId="0" fontId="0" fillId="5" borderId="7" xfId="0" applyFill="1" applyBorder="1" applyAlignment="1" applyProtection="1">
      <alignment vertical="center" wrapText="1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vertical="center" wrapText="1"/>
      <protection hidden="1"/>
    </xf>
    <xf numFmtId="0" fontId="5" fillId="4" borderId="7" xfId="0" applyFont="1" applyFill="1" applyBorder="1" applyAlignment="1" applyProtection="1">
      <alignment vertical="top" wrapText="1"/>
      <protection hidden="1"/>
    </xf>
    <xf numFmtId="0" fontId="0" fillId="2" borderId="6" xfId="0" applyFill="1" applyBorder="1" applyAlignment="1" applyProtection="1">
      <alignment vertical="center" wrapText="1"/>
      <protection hidden="1"/>
    </xf>
    <xf numFmtId="0" fontId="0" fillId="6" borderId="7" xfId="0" applyFill="1" applyBorder="1" applyProtection="1">
      <alignment vertical="center"/>
      <protection locked="0"/>
    </xf>
    <xf numFmtId="0" fontId="13" fillId="6" borderId="0" xfId="0" applyFont="1" applyFill="1" applyAlignment="1">
      <alignment horizontal="centerContinuous" vertical="center"/>
    </xf>
    <xf numFmtId="0" fontId="0" fillId="6" borderId="0" xfId="0" applyFill="1" applyAlignment="1">
      <alignment horizontal="centerContinuous" vertical="center"/>
    </xf>
    <xf numFmtId="0" fontId="0" fillId="6" borderId="1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1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16" xfId="0" applyFill="1" applyBorder="1" applyAlignment="1">
      <alignment horizontal="right" vertical="center"/>
    </xf>
    <xf numFmtId="0" fontId="0" fillId="6" borderId="9" xfId="0" applyFill="1" applyBorder="1" applyAlignment="1">
      <alignment horizontal="right" vertical="center"/>
    </xf>
    <xf numFmtId="0" fontId="0" fillId="6" borderId="19" xfId="0" applyFill="1" applyBorder="1">
      <alignment vertical="center"/>
    </xf>
    <xf numFmtId="0" fontId="0" fillId="6" borderId="19" xfId="0" applyFill="1" applyBorder="1" applyAlignment="1">
      <alignment horizontal="center" vertical="center"/>
    </xf>
    <xf numFmtId="0" fontId="0" fillId="0" borderId="2" xfId="0" applyFill="1" applyBorder="1" applyProtection="1">
      <alignment vertical="center"/>
      <protection locked="0"/>
    </xf>
    <xf numFmtId="20" fontId="0" fillId="0" borderId="8" xfId="0" applyNumberFormat="1" applyFill="1" applyBorder="1" applyProtection="1">
      <alignment vertical="center"/>
      <protection locked="0"/>
    </xf>
    <xf numFmtId="0" fontId="14" fillId="6" borderId="0" xfId="0" applyFont="1" applyFill="1" applyAlignment="1" applyProtection="1">
      <alignment horizontal="right" vertical="center"/>
      <protection hidden="1"/>
    </xf>
    <xf numFmtId="0" fontId="0" fillId="6" borderId="16" xfId="0" applyFill="1" applyBorder="1">
      <alignment vertical="center"/>
    </xf>
    <xf numFmtId="0" fontId="0" fillId="6" borderId="9" xfId="0" applyFill="1" applyBorder="1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5" fillId="0" borderId="7" xfId="0" applyFont="1" applyBorder="1" applyAlignment="1">
      <alignment vertical="top" wrapText="1"/>
    </xf>
    <xf numFmtId="0" fontId="15" fillId="0" borderId="0" xfId="0" applyFont="1">
      <alignment vertical="center"/>
    </xf>
    <xf numFmtId="38" fontId="15" fillId="0" borderId="0" xfId="2" applyFont="1">
      <alignment vertical="center"/>
    </xf>
    <xf numFmtId="0" fontId="15" fillId="0" borderId="0" xfId="0" applyFont="1" applyAlignment="1">
      <alignment horizontal="right" vertical="center"/>
    </xf>
    <xf numFmtId="38" fontId="15" fillId="0" borderId="0" xfId="0" applyNumberFormat="1" applyFont="1">
      <alignment vertical="center"/>
    </xf>
    <xf numFmtId="0" fontId="15" fillId="3" borderId="0" xfId="0" applyFont="1" applyFill="1">
      <alignment vertical="center"/>
    </xf>
    <xf numFmtId="9" fontId="15" fillId="0" borderId="0" xfId="1" applyFont="1">
      <alignment vertical="center"/>
    </xf>
    <xf numFmtId="38" fontId="15" fillId="0" borderId="0" xfId="2" applyFont="1" applyFill="1" applyBorder="1" applyAlignment="1"/>
    <xf numFmtId="38" fontId="15" fillId="0" borderId="0" xfId="2" applyFont="1" applyAlignment="1"/>
    <xf numFmtId="3" fontId="15" fillId="0" borderId="0" xfId="0" applyNumberFormat="1" applyFont="1">
      <alignment vertical="center"/>
    </xf>
    <xf numFmtId="177" fontId="15" fillId="0" borderId="0" xfId="2" applyNumberFormat="1" applyFont="1">
      <alignment vertical="center"/>
    </xf>
    <xf numFmtId="9" fontId="15" fillId="0" borderId="0" xfId="0" applyNumberFormat="1" applyFont="1">
      <alignment vertical="center"/>
    </xf>
    <xf numFmtId="0" fontId="0" fillId="6" borderId="2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10" xfId="0" applyFill="1" applyBorder="1">
      <alignment vertical="center"/>
    </xf>
    <xf numFmtId="0" fontId="0" fillId="6" borderId="17" xfId="0" applyFill="1" applyBorder="1">
      <alignment vertical="center"/>
    </xf>
    <xf numFmtId="0" fontId="0" fillId="6" borderId="18" xfId="0" applyFill="1" applyBorder="1">
      <alignment vertical="center"/>
    </xf>
    <xf numFmtId="0" fontId="0" fillId="4" borderId="7" xfId="0" applyFill="1" applyBorder="1" applyAlignment="1" applyProtection="1">
      <alignment vertical="center" wrapText="1"/>
      <protection hidden="1"/>
    </xf>
    <xf numFmtId="0" fontId="0" fillId="4" borderId="7" xfId="0" applyFill="1" applyBorder="1" applyAlignment="1">
      <alignment vertical="center"/>
    </xf>
    <xf numFmtId="0" fontId="15" fillId="0" borderId="7" xfId="0" applyFont="1" applyBorder="1">
      <alignment vertical="center"/>
    </xf>
    <xf numFmtId="0" fontId="0" fillId="0" borderId="18" xfId="0" applyFill="1" applyBorder="1" applyAlignment="1">
      <alignment vertical="center"/>
    </xf>
    <xf numFmtId="0" fontId="15" fillId="4" borderId="0" xfId="0" applyFont="1" applyFill="1">
      <alignment vertical="center"/>
    </xf>
    <xf numFmtId="0" fontId="0" fillId="0" borderId="0" xfId="0" applyBorder="1">
      <alignment vertical="center"/>
    </xf>
    <xf numFmtId="38" fontId="0" fillId="0" borderId="0" xfId="0" applyNumberFormat="1">
      <alignment vertical="center"/>
    </xf>
    <xf numFmtId="40" fontId="15" fillId="0" borderId="0" xfId="2" applyNumberFormat="1" applyFont="1">
      <alignment vertical="center"/>
    </xf>
    <xf numFmtId="40" fontId="15" fillId="0" borderId="0" xfId="0" applyNumberFormat="1" applyFont="1">
      <alignment vertical="center"/>
    </xf>
    <xf numFmtId="0" fontId="15" fillId="7" borderId="0" xfId="0" applyFont="1" applyFill="1">
      <alignment vertical="center"/>
    </xf>
    <xf numFmtId="38" fontId="15" fillId="7" borderId="0" xfId="2" applyFont="1" applyFill="1">
      <alignment vertical="center"/>
    </xf>
    <xf numFmtId="0" fontId="17" fillId="2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>
      <alignment vertical="center"/>
    </xf>
    <xf numFmtId="0" fontId="0" fillId="5" borderId="10" xfId="0" applyFill="1" applyBorder="1" applyAlignment="1" applyProtection="1">
      <alignment vertical="center" wrapText="1"/>
      <protection hidden="1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0" fillId="6" borderId="0" xfId="0" applyFont="1" applyFill="1" applyAlignment="1" applyProtection="1">
      <alignment horizontal="right" vertical="center"/>
      <protection hidden="1"/>
    </xf>
    <xf numFmtId="38" fontId="0" fillId="0" borderId="0" xfId="2" applyFo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38" fontId="0" fillId="0" borderId="8" xfId="2" applyFont="1" applyBorder="1">
      <alignment vertical="center"/>
    </xf>
    <xf numFmtId="38" fontId="0" fillId="0" borderId="8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6" xfId="0" applyBorder="1">
      <alignment vertical="center"/>
    </xf>
    <xf numFmtId="38" fontId="0" fillId="0" borderId="9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38" fontId="0" fillId="0" borderId="16" xfId="0" applyNumberFormat="1" applyBorder="1">
      <alignment vertical="center"/>
    </xf>
    <xf numFmtId="38" fontId="0" fillId="0" borderId="2" xfId="0" applyNumberFormat="1" applyBorder="1">
      <alignment vertical="center"/>
    </xf>
    <xf numFmtId="38" fontId="0" fillId="0" borderId="3" xfId="0" applyNumberFormat="1" applyBorder="1">
      <alignment vertical="center"/>
    </xf>
    <xf numFmtId="0" fontId="21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vertical="top" wrapText="1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>
      <alignment vertical="center" wrapText="1"/>
    </xf>
    <xf numFmtId="177" fontId="15" fillId="7" borderId="0" xfId="2" applyNumberFormat="1" applyFont="1" applyFill="1">
      <alignment vertical="center"/>
    </xf>
    <xf numFmtId="40" fontId="0" fillId="0" borderId="0" xfId="2" applyNumberFormat="1" applyFont="1">
      <alignment vertical="center"/>
    </xf>
    <xf numFmtId="0" fontId="5" fillId="5" borderId="7" xfId="0" applyFont="1" applyFill="1" applyBorder="1" applyAlignment="1" applyProtection="1">
      <alignment vertical="center" wrapText="1"/>
      <protection hidden="1"/>
    </xf>
    <xf numFmtId="38" fontId="2" fillId="0" borderId="7" xfId="2" applyFont="1" applyBorder="1">
      <alignment vertical="center"/>
    </xf>
    <xf numFmtId="0" fontId="2" fillId="0" borderId="7" xfId="0" applyFont="1" applyBorder="1">
      <alignment vertical="center"/>
    </xf>
    <xf numFmtId="0" fontId="0" fillId="0" borderId="0" xfId="0" applyFont="1">
      <alignment vertical="center"/>
    </xf>
    <xf numFmtId="177" fontId="2" fillId="0" borderId="0" xfId="2" applyNumberFormat="1" applyFont="1">
      <alignment vertical="center"/>
    </xf>
    <xf numFmtId="40" fontId="0" fillId="0" borderId="7" xfId="2" applyNumberFormat="1" applyFont="1" applyFill="1" applyBorder="1">
      <alignment vertical="center"/>
    </xf>
    <xf numFmtId="0" fontId="0" fillId="6" borderId="0" xfId="0" applyFill="1" applyAlignment="1">
      <alignment vertical="top" wrapText="1"/>
    </xf>
    <xf numFmtId="0" fontId="0" fillId="6" borderId="19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9" xfId="0" applyFill="1" applyBorder="1" applyAlignment="1">
      <alignment vertical="top" wrapText="1"/>
    </xf>
    <xf numFmtId="0" fontId="0" fillId="6" borderId="3" xfId="0" applyFill="1" applyBorder="1" applyAlignment="1">
      <alignment horizontal="center" vertical="top"/>
    </xf>
    <xf numFmtId="0" fontId="0" fillId="6" borderId="9" xfId="0" applyFill="1" applyBorder="1" applyAlignment="1">
      <alignment horizontal="center" vertical="top"/>
    </xf>
    <xf numFmtId="0" fontId="0" fillId="6" borderId="0" xfId="0" applyFill="1" applyAlignment="1" applyProtection="1">
      <alignment horizontal="left" vertical="center" wrapText="1"/>
      <protection hidden="1"/>
    </xf>
    <xf numFmtId="0" fontId="2" fillId="6" borderId="0" xfId="0" applyFont="1" applyFill="1" applyAlignment="1" applyProtection="1">
      <alignment horizontal="left" vertical="center" wrapText="1"/>
      <protection hidden="1"/>
    </xf>
    <xf numFmtId="0" fontId="2" fillId="6" borderId="16" xfId="0" applyFont="1" applyFill="1" applyBorder="1" applyAlignment="1" applyProtection="1">
      <alignment horizontal="left" vertical="center" wrapText="1"/>
      <protection hidden="1"/>
    </xf>
    <xf numFmtId="176" fontId="0" fillId="6" borderId="0" xfId="0" applyNumberFormat="1" applyFill="1" applyAlignment="1" applyProtection="1">
      <alignment horizontal="right" vertical="center"/>
      <protection hidden="1"/>
    </xf>
    <xf numFmtId="0" fontId="0" fillId="6" borderId="0" xfId="0" applyFill="1" applyAlignment="1" applyProtection="1">
      <alignment vertical="center" wrapText="1"/>
      <protection hidden="1"/>
    </xf>
    <xf numFmtId="14" fontId="0" fillId="0" borderId="0" xfId="0" applyNumberFormat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277740747548"/>
          <c:y val="0.20714321837196284"/>
          <c:w val="0.75963887037377409"/>
          <c:h val="0.589286741920239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診断計算!$A$26</c:f>
              <c:strCache>
                <c:ptCount val="1"/>
                <c:pt idx="0">
                  <c:v>あなた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診断計算!$B$25:$E$25</c:f>
              <c:strCache>
                <c:ptCount val="4"/>
                <c:pt idx="0">
                  <c:v>電気</c:v>
                </c:pt>
                <c:pt idx="1">
                  <c:v>LPガス</c:v>
                </c:pt>
                <c:pt idx="2">
                  <c:v>灯油</c:v>
                </c:pt>
                <c:pt idx="3">
                  <c:v>ガソリン</c:v>
                </c:pt>
              </c:strCache>
            </c:strRef>
          </c:cat>
          <c:val>
            <c:numRef>
              <c:f>診断計算!$B$26:$E$26</c:f>
              <c:numCache>
                <c:formatCode>#,##0_);[Red]\(#,##0\)</c:formatCode>
                <c:ptCount val="4"/>
                <c:pt idx="0">
                  <c:v>10000</c:v>
                </c:pt>
                <c:pt idx="1">
                  <c:v>6000</c:v>
                </c:pt>
                <c:pt idx="2">
                  <c:v>0</c:v>
                </c:pt>
                <c:pt idx="3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診断計算!$A$27</c:f>
              <c:strCache>
                <c:ptCount val="1"/>
                <c:pt idx="0">
                  <c:v>4人家族の標準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診断計算!$B$25:$E$25</c:f>
              <c:strCache>
                <c:ptCount val="4"/>
                <c:pt idx="0">
                  <c:v>電気</c:v>
                </c:pt>
                <c:pt idx="1">
                  <c:v>LPガス</c:v>
                </c:pt>
                <c:pt idx="2">
                  <c:v>灯油</c:v>
                </c:pt>
                <c:pt idx="3">
                  <c:v>ガソリン</c:v>
                </c:pt>
              </c:strCache>
            </c:strRef>
          </c:cat>
          <c:val>
            <c:numRef>
              <c:f>診断計算!$B$27:$E$27</c:f>
              <c:numCache>
                <c:formatCode>#,##0_);[Red]\(#,##0\)</c:formatCode>
                <c:ptCount val="4"/>
                <c:pt idx="0">
                  <c:v>12699.388017265437</c:v>
                </c:pt>
                <c:pt idx="1">
                  <c:v>8031.8192234488688</c:v>
                </c:pt>
                <c:pt idx="2">
                  <c:v>1211.014621635001</c:v>
                </c:pt>
                <c:pt idx="3">
                  <c:v>6150.0279280877412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10660472"/>
        <c:axId val="410658120"/>
      </c:barChart>
      <c:catAx>
        <c:axId val="410660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5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65812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1ヶ月の光熱費・ガソリン代（円）</a:t>
                </a:r>
              </a:p>
            </c:rich>
          </c:tx>
          <c:layout>
            <c:manualLayout>
              <c:xMode val="edge"/>
              <c:yMode val="edge"/>
              <c:x val="0.36054493188351455"/>
              <c:y val="5.7142857142857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604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374221079507923"/>
          <c:y val="0.81785864266966624"/>
          <c:w val="0.20408210878402105"/>
          <c:h val="0.11785751781027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157894736842105"/>
          <c:y val="0.13907284768211919"/>
          <c:w val="0.57105263157894737"/>
          <c:h val="0.7185430463576159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7509048211078814E-2"/>
                  <c:y val="3.0601588708696167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170741815167767E-3"/>
                  <c:y val="9.2873755019033222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492195054565624E-2"/>
                  <c:y val="-1.7795623229214822E-3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078049454344511E-2"/>
                  <c:y val="-3.6977629451947616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83409310678034E-3"/>
                  <c:y val="6.6287045245172177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診断計算!$J$13:$N$13</c:f>
              <c:strCache>
                <c:ptCount val="5"/>
                <c:pt idx="0">
                  <c:v>台所</c:v>
                </c:pt>
                <c:pt idx="1">
                  <c:v>部屋・生活</c:v>
                </c:pt>
                <c:pt idx="2">
                  <c:v>風呂・洗面</c:v>
                </c:pt>
                <c:pt idx="3">
                  <c:v>掃除洗濯</c:v>
                </c:pt>
                <c:pt idx="4">
                  <c:v>買い物・外出</c:v>
                </c:pt>
              </c:strCache>
            </c:strRef>
          </c:cat>
          <c:val>
            <c:numRef>
              <c:f>診断計算!$J$14:$N$14</c:f>
              <c:numCache>
                <c:formatCode>#,##0_);[Red]\(#,##0\)</c:formatCode>
                <c:ptCount val="5"/>
                <c:pt idx="0">
                  <c:v>75</c:v>
                </c:pt>
                <c:pt idx="1">
                  <c:v>90</c:v>
                </c:pt>
                <c:pt idx="2">
                  <c:v>83.333333333333343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71056"/>
        <c:axId val="410671840"/>
      </c:radarChart>
      <c:catAx>
        <c:axId val="41067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71840"/>
        <c:crosses val="autoZero"/>
        <c:auto val="0"/>
        <c:lblAlgn val="ctr"/>
        <c:lblOffset val="100"/>
        <c:noMultiLvlLbl val="0"/>
      </c:catAx>
      <c:valAx>
        <c:axId val="41067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#,##0_);[Red]\(#,##0\)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671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99236479601963"/>
          <c:y val="0.13375796178343949"/>
          <c:w val="0.63143798547061702"/>
          <c:h val="0.7420382165605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診断計算!$B$67:$E$67</c:f>
              <c:strCache>
                <c:ptCount val="4"/>
                <c:pt idx="0">
                  <c:v>電気</c:v>
                </c:pt>
                <c:pt idx="1">
                  <c:v>LPガス</c:v>
                </c:pt>
                <c:pt idx="2">
                  <c:v>灯油</c:v>
                </c:pt>
                <c:pt idx="3">
                  <c:v>ガソリン</c:v>
                </c:pt>
              </c:strCache>
            </c:strRef>
          </c:cat>
          <c:val>
            <c:numRef>
              <c:f>診断計算!$B$68:$E$68</c:f>
              <c:numCache>
                <c:formatCode>#,##0.0;[Red]\-#,##0.0</c:formatCode>
                <c:ptCount val="4"/>
                <c:pt idx="0">
                  <c:v>199.83229785969084</c:v>
                </c:pt>
                <c:pt idx="1">
                  <c:v>47.422680412371136</c:v>
                </c:pt>
                <c:pt idx="2">
                  <c:v>0</c:v>
                </c:pt>
                <c:pt idx="3">
                  <c:v>69.313432835820905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99547206755186"/>
          <c:y val="0.14527027027027026"/>
          <c:w val="0.62406167778253685"/>
          <c:h val="0.8412162162162162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5530603144796934E-2"/>
                  <c:y val="9.4449882953819939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197034384781666E-3"/>
                  <c:y val="0.1689260126268000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801237116749736E-2"/>
                  <c:y val="5.6088884159750219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483373944974344E-2"/>
                  <c:y val="1.9645669291338513E-2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69879538928307E-3"/>
                  <c:y val="0.13929453075122369"/>
                </c:manualLayout>
              </c:layout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診断計算!$J$13:$N$13</c:f>
              <c:strCache>
                <c:ptCount val="5"/>
                <c:pt idx="0">
                  <c:v>台所</c:v>
                </c:pt>
                <c:pt idx="1">
                  <c:v>部屋・生活</c:v>
                </c:pt>
                <c:pt idx="2">
                  <c:v>風呂・洗面</c:v>
                </c:pt>
                <c:pt idx="3">
                  <c:v>掃除洗濯</c:v>
                </c:pt>
                <c:pt idx="4">
                  <c:v>買い物・外出</c:v>
                </c:pt>
              </c:strCache>
            </c:strRef>
          </c:cat>
          <c:val>
            <c:numRef>
              <c:f>診断計算!$J$14:$N$14</c:f>
              <c:numCache>
                <c:formatCode>#,##0_);[Red]\(#,##0\)</c:formatCode>
                <c:ptCount val="5"/>
                <c:pt idx="0">
                  <c:v>75</c:v>
                </c:pt>
                <c:pt idx="1">
                  <c:v>90</c:v>
                </c:pt>
                <c:pt idx="2">
                  <c:v>83.333333333333343</c:v>
                </c:pt>
                <c:pt idx="3">
                  <c:v>100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診断計算!$J$13:$N$13</c:f>
              <c:strCache>
                <c:ptCount val="5"/>
                <c:pt idx="0">
                  <c:v>台所</c:v>
                </c:pt>
                <c:pt idx="1">
                  <c:v>部屋・生活</c:v>
                </c:pt>
                <c:pt idx="2">
                  <c:v>風呂・洗面</c:v>
                </c:pt>
                <c:pt idx="3">
                  <c:v>掃除洗濯</c:v>
                </c:pt>
                <c:pt idx="4">
                  <c:v>買い物・外出</c:v>
                </c:pt>
              </c:strCache>
            </c:strRef>
          </c:cat>
          <c:val>
            <c:numRef>
              <c:f>診断計算!$P$14:$T$14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6897368"/>
        <c:axId val="886896192"/>
      </c:radarChart>
      <c:catAx>
        <c:axId val="886897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896192"/>
        <c:crosses val="autoZero"/>
        <c:auto val="0"/>
        <c:lblAlgn val="ctr"/>
        <c:lblOffset val="100"/>
        <c:noMultiLvlLbl val="0"/>
      </c:catAx>
      <c:valAx>
        <c:axId val="8868961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olid"/>
            </a:ln>
          </c:spPr>
        </c:majorGridlines>
        <c:numFmt formatCode="#,##0_);[Red]\(#,##0\)" sourceLinked="1"/>
        <c:majorTickMark val="cross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897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48186528497408"/>
          <c:y val="0.27926140091863516"/>
          <c:w val="0.69170984455958551"/>
          <c:h val="0.68335916994750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診断計算!$A$26</c:f>
              <c:strCache>
                <c:ptCount val="1"/>
                <c:pt idx="0">
                  <c:v>あなた</c:v>
                </c:pt>
              </c:strCache>
            </c:strRef>
          </c:tx>
          <c:spPr>
            <a:gradFill rotWithShape="0">
              <a:gsLst>
                <a:gs pos="0">
                  <a:srgbClr val="FF0000"/>
                </a:gs>
                <a:gs pos="50000">
                  <a:srgbClr val="FF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診断計算!$B$25:$E$25</c:f>
              <c:strCache>
                <c:ptCount val="4"/>
                <c:pt idx="0">
                  <c:v>電気</c:v>
                </c:pt>
                <c:pt idx="1">
                  <c:v>LPガス</c:v>
                </c:pt>
                <c:pt idx="2">
                  <c:v>灯油</c:v>
                </c:pt>
                <c:pt idx="3">
                  <c:v>ガソリン</c:v>
                </c:pt>
              </c:strCache>
            </c:strRef>
          </c:cat>
          <c:val>
            <c:numRef>
              <c:f>診断計算!$B$26:$E$26</c:f>
              <c:numCache>
                <c:formatCode>#,##0_);[Red]\(#,##0\)</c:formatCode>
                <c:ptCount val="4"/>
                <c:pt idx="0">
                  <c:v>10000</c:v>
                </c:pt>
                <c:pt idx="1">
                  <c:v>6000</c:v>
                </c:pt>
                <c:pt idx="2">
                  <c:v>0</c:v>
                </c:pt>
                <c:pt idx="3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診断計算!$A$27</c:f>
              <c:strCache>
                <c:ptCount val="1"/>
                <c:pt idx="0">
                  <c:v>4人家族の標準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診断計算!$B$25:$E$25</c:f>
              <c:strCache>
                <c:ptCount val="4"/>
                <c:pt idx="0">
                  <c:v>電気</c:v>
                </c:pt>
                <c:pt idx="1">
                  <c:v>LPガス</c:v>
                </c:pt>
                <c:pt idx="2">
                  <c:v>灯油</c:v>
                </c:pt>
                <c:pt idx="3">
                  <c:v>ガソリン</c:v>
                </c:pt>
              </c:strCache>
            </c:strRef>
          </c:cat>
          <c:val>
            <c:numRef>
              <c:f>診断計算!$B$27:$E$27</c:f>
              <c:numCache>
                <c:formatCode>#,##0_);[Red]\(#,##0\)</c:formatCode>
                <c:ptCount val="4"/>
                <c:pt idx="0">
                  <c:v>12699.388017265437</c:v>
                </c:pt>
                <c:pt idx="1">
                  <c:v>8031.8192234488688</c:v>
                </c:pt>
                <c:pt idx="2">
                  <c:v>1211.014621635001</c:v>
                </c:pt>
                <c:pt idx="3">
                  <c:v>6150.0279280877412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86895408"/>
        <c:axId val="886899720"/>
      </c:barChart>
      <c:catAx>
        <c:axId val="8868954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89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89972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1ヶ月の光熱費・ガソリン代（円）</a:t>
                </a:r>
              </a:p>
            </c:rich>
          </c:tx>
          <c:layout>
            <c:manualLayout>
              <c:xMode val="edge"/>
              <c:yMode val="edge"/>
              <c:x val="0.20207253886010362"/>
              <c:y val="7.8651984908136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895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293609671848012"/>
          <c:y val="5.0636893044619428E-2"/>
          <c:w val="0.27202072538860111"/>
          <c:h val="0.12295234580052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82600321724"/>
          <c:y val="0.16129032258064516"/>
          <c:w val="0.65000176324263037"/>
          <c:h val="0.68621700879765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FF66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33CC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診断計算!$B$67:$E$67</c:f>
              <c:strCache>
                <c:ptCount val="4"/>
                <c:pt idx="0">
                  <c:v>電気</c:v>
                </c:pt>
                <c:pt idx="1">
                  <c:v>LPガス</c:v>
                </c:pt>
                <c:pt idx="2">
                  <c:v>灯油</c:v>
                </c:pt>
                <c:pt idx="3">
                  <c:v>ガソリン</c:v>
                </c:pt>
              </c:strCache>
            </c:strRef>
          </c:cat>
          <c:val>
            <c:numRef>
              <c:f>診断計算!$B$68:$E$68</c:f>
              <c:numCache>
                <c:formatCode>#,##0.0;[Red]\-#,##0.0</c:formatCode>
                <c:ptCount val="4"/>
                <c:pt idx="0">
                  <c:v>199.83229785969084</c:v>
                </c:pt>
                <c:pt idx="1">
                  <c:v>47.422680412371136</c:v>
                </c:pt>
                <c:pt idx="2">
                  <c:v>0</c:v>
                </c:pt>
                <c:pt idx="3">
                  <c:v>69.313432835820905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1</xdr:row>
      <xdr:rowOff>47625</xdr:rowOff>
    </xdr:from>
    <xdr:to>
      <xdr:col>11</xdr:col>
      <xdr:colOff>552450</xdr:colOff>
      <xdr:row>30</xdr:row>
      <xdr:rowOff>9753600</xdr:rowOff>
    </xdr:to>
    <xdr:pic>
      <xdr:nvPicPr>
        <xdr:cNvPr id="8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219075"/>
          <a:ext cx="3314700" cy="522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609600</xdr:colOff>
      <xdr:row>0</xdr:row>
      <xdr:rowOff>104775</xdr:rowOff>
    </xdr:from>
    <xdr:to>
      <xdr:col>11</xdr:col>
      <xdr:colOff>600075</xdr:colOff>
      <xdr:row>31</xdr:row>
      <xdr:rowOff>2133600</xdr:rowOff>
    </xdr:to>
    <xdr:sp macro="" textlink="">
      <xdr:nvSpPr>
        <xdr:cNvPr id="8234" name="Rectangle 2"/>
        <xdr:cNvSpPr>
          <a:spLocks noChangeArrowheads="1"/>
        </xdr:cNvSpPr>
      </xdr:nvSpPr>
      <xdr:spPr bwMode="auto">
        <a:xfrm>
          <a:off x="4724400" y="104775"/>
          <a:ext cx="3419475" cy="5514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104775</xdr:rowOff>
    </xdr:from>
    <xdr:to>
      <xdr:col>6</xdr:col>
      <xdr:colOff>95250</xdr:colOff>
      <xdr:row>45</xdr:row>
      <xdr:rowOff>3276600</xdr:rowOff>
    </xdr:to>
    <xdr:graphicFrame macro="">
      <xdr:nvGraphicFramePr>
        <xdr:cNvPr id="21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23</xdr:row>
      <xdr:rowOff>5410200</xdr:rowOff>
    </xdr:from>
    <xdr:to>
      <xdr:col>19</xdr:col>
      <xdr:colOff>266700</xdr:colOff>
      <xdr:row>40</xdr:row>
      <xdr:rowOff>9525</xdr:rowOff>
    </xdr:to>
    <xdr:graphicFrame macro="">
      <xdr:nvGraphicFramePr>
        <xdr:cNvPr id="2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371475</xdr:colOff>
      <xdr:row>45</xdr:row>
      <xdr:rowOff>16230600</xdr:rowOff>
    </xdr:from>
    <xdr:to>
      <xdr:col>19</xdr:col>
      <xdr:colOff>76200</xdr:colOff>
      <xdr:row>63</xdr:row>
      <xdr:rowOff>5410200</xdr:rowOff>
    </xdr:to>
    <xdr:graphicFrame macro="">
      <xdr:nvGraphicFramePr>
        <xdr:cNvPr id="211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6</xdr:col>
      <xdr:colOff>0</xdr:colOff>
      <xdr:row>21</xdr:row>
      <xdr:rowOff>9525</xdr:rowOff>
    </xdr:to>
    <xdr:graphicFrame macro="">
      <xdr:nvGraphicFramePr>
        <xdr:cNvPr id="425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22</xdr:row>
      <xdr:rowOff>142875</xdr:rowOff>
    </xdr:from>
    <xdr:to>
      <xdr:col>5</xdr:col>
      <xdr:colOff>333375</xdr:colOff>
      <xdr:row>32</xdr:row>
      <xdr:rowOff>9525</xdr:rowOff>
    </xdr:to>
    <xdr:graphicFrame macro="">
      <xdr:nvGraphicFramePr>
        <xdr:cNvPr id="42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4</xdr:row>
      <xdr:rowOff>114300</xdr:rowOff>
    </xdr:from>
    <xdr:to>
      <xdr:col>9</xdr:col>
      <xdr:colOff>57150</xdr:colOff>
      <xdr:row>20</xdr:row>
      <xdr:rowOff>0</xdr:rowOff>
    </xdr:to>
    <xdr:sp macro="" textlink="">
      <xdr:nvSpPr>
        <xdr:cNvPr id="4259" name="Rectangle 3"/>
        <xdr:cNvSpPr>
          <a:spLocks noChangeArrowheads="1"/>
        </xdr:cNvSpPr>
      </xdr:nvSpPr>
      <xdr:spPr bwMode="auto">
        <a:xfrm>
          <a:off x="3714750" y="1076325"/>
          <a:ext cx="2857500" cy="2638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22</xdr:row>
      <xdr:rowOff>114300</xdr:rowOff>
    </xdr:from>
    <xdr:to>
      <xdr:col>9</xdr:col>
      <xdr:colOff>57150</xdr:colOff>
      <xdr:row>31</xdr:row>
      <xdr:rowOff>95250</xdr:rowOff>
    </xdr:to>
    <xdr:sp macro="" textlink="">
      <xdr:nvSpPr>
        <xdr:cNvPr id="4260" name="Rectangle 4"/>
        <xdr:cNvSpPr>
          <a:spLocks noChangeArrowheads="1"/>
        </xdr:cNvSpPr>
      </xdr:nvSpPr>
      <xdr:spPr bwMode="auto">
        <a:xfrm>
          <a:off x="3733800" y="4086225"/>
          <a:ext cx="2838450" cy="245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35</xdr:row>
      <xdr:rowOff>1066800</xdr:rowOff>
    </xdr:from>
    <xdr:to>
      <xdr:col>5</xdr:col>
      <xdr:colOff>19050</xdr:colOff>
      <xdr:row>52</xdr:row>
      <xdr:rowOff>3276600</xdr:rowOff>
    </xdr:to>
    <xdr:graphicFrame macro="">
      <xdr:nvGraphicFramePr>
        <xdr:cNvPr id="426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</xdr:row>
      <xdr:rowOff>114300</xdr:rowOff>
    </xdr:from>
    <xdr:to>
      <xdr:col>9</xdr:col>
      <xdr:colOff>57150</xdr:colOff>
      <xdr:row>3</xdr:row>
      <xdr:rowOff>114300</xdr:rowOff>
    </xdr:to>
    <xdr:sp macro="" textlink="">
      <xdr:nvSpPr>
        <xdr:cNvPr id="4262" name="AutoShape 6"/>
        <xdr:cNvSpPr>
          <a:spLocks noChangeArrowheads="1"/>
        </xdr:cNvSpPr>
      </xdr:nvSpPr>
      <xdr:spPr bwMode="auto">
        <a:xfrm>
          <a:off x="57150" y="285750"/>
          <a:ext cx="6515100" cy="561975"/>
        </a:xfrm>
        <a:prstGeom prst="plaque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39</xdr:row>
      <xdr:rowOff>76200</xdr:rowOff>
    </xdr:from>
    <xdr:to>
      <xdr:col>9</xdr:col>
      <xdr:colOff>57150</xdr:colOff>
      <xdr:row>50</xdr:row>
      <xdr:rowOff>123825</xdr:rowOff>
    </xdr:to>
    <xdr:sp macro="" textlink="">
      <xdr:nvSpPr>
        <xdr:cNvPr id="4263" name="Rectangle 7"/>
        <xdr:cNvSpPr>
          <a:spLocks noChangeArrowheads="1"/>
        </xdr:cNvSpPr>
      </xdr:nvSpPr>
      <xdr:spPr bwMode="auto">
        <a:xfrm>
          <a:off x="3733800" y="27279600"/>
          <a:ext cx="2838450" cy="175869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447675</xdr:colOff>
      <xdr:row>5</xdr:row>
      <xdr:rowOff>104775</xdr:rowOff>
    </xdr:from>
    <xdr:to>
      <xdr:col>5</xdr:col>
      <xdr:colOff>123825</xdr:colOff>
      <xdr:row>5</xdr:row>
      <xdr:rowOff>104775</xdr:rowOff>
    </xdr:to>
    <xdr:sp macro="" textlink="">
      <xdr:nvSpPr>
        <xdr:cNvPr id="4264" name="Line 8"/>
        <xdr:cNvSpPr>
          <a:spLocks noChangeShapeType="1"/>
        </xdr:cNvSpPr>
      </xdr:nvSpPr>
      <xdr:spPr bwMode="auto">
        <a:xfrm>
          <a:off x="3190875" y="1285875"/>
          <a:ext cx="3619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</cdr:x>
      <cdr:y>0.49686</cdr:y>
    </cdr:from>
    <cdr:to>
      <cdr:x>0.53486</cdr:x>
      <cdr:y>0.55315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8175" y="1408753"/>
          <a:ext cx="132802" cy="159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IU48"/>
  <sheetViews>
    <sheetView tabSelected="1" workbookViewId="0">
      <selection activeCell="G16" sqref="G16"/>
    </sheetView>
  </sheetViews>
  <sheetFormatPr defaultColWidth="0" defaultRowHeight="13.5"/>
  <cols>
    <col min="1" max="12" width="9" style="26" customWidth="1"/>
    <col min="13" max="253" width="0" style="26" hidden="1" customWidth="1"/>
    <col min="254" max="255" width="9" style="26" hidden="1" customWidth="1"/>
    <col min="256" max="16384" width="0" style="26" hidden="1"/>
  </cols>
  <sheetData>
    <row r="2" spans="1:6" ht="24">
      <c r="B2" s="27" t="s">
        <v>82</v>
      </c>
    </row>
    <row r="3" spans="1:6">
      <c r="F3" s="28" t="s">
        <v>365</v>
      </c>
    </row>
    <row r="5" spans="1:6">
      <c r="A5" s="26" t="s">
        <v>85</v>
      </c>
      <c r="B5" s="184" t="s">
        <v>83</v>
      </c>
      <c r="C5" s="184"/>
      <c r="D5" s="184"/>
      <c r="E5" s="184"/>
      <c r="F5" s="184"/>
    </row>
    <row r="6" spans="1:6">
      <c r="B6" s="184"/>
      <c r="C6" s="184"/>
      <c r="D6" s="184"/>
      <c r="E6" s="184"/>
      <c r="F6" s="184"/>
    </row>
    <row r="7" spans="1:6">
      <c r="B7" s="184"/>
      <c r="C7" s="184"/>
      <c r="D7" s="184"/>
      <c r="E7" s="184"/>
      <c r="F7" s="184"/>
    </row>
    <row r="8" spans="1:6">
      <c r="B8" s="184"/>
      <c r="C8" s="184"/>
      <c r="D8" s="184"/>
      <c r="E8" s="184"/>
      <c r="F8" s="184"/>
    </row>
    <row r="9" spans="1:6">
      <c r="B9" s="184"/>
      <c r="C9" s="184"/>
      <c r="D9" s="184"/>
      <c r="E9" s="184"/>
      <c r="F9" s="184"/>
    </row>
    <row r="10" spans="1:6">
      <c r="B10" s="184"/>
      <c r="C10" s="184"/>
      <c r="D10" s="184"/>
      <c r="E10" s="184"/>
      <c r="F10" s="184"/>
    </row>
    <row r="11" spans="1:6">
      <c r="B11" s="184"/>
      <c r="C11" s="184"/>
      <c r="D11" s="184"/>
      <c r="E11" s="184"/>
      <c r="F11" s="184"/>
    </row>
    <row r="13" spans="1:6">
      <c r="A13" s="26" t="s">
        <v>90</v>
      </c>
      <c r="B13" s="26" t="s">
        <v>92</v>
      </c>
    </row>
    <row r="14" spans="1:6">
      <c r="B14" s="26" t="s">
        <v>91</v>
      </c>
    </row>
    <row r="15" spans="1:6">
      <c r="B15" s="26" t="s">
        <v>93</v>
      </c>
    </row>
    <row r="16" spans="1:6">
      <c r="B16" s="26" t="s">
        <v>94</v>
      </c>
    </row>
    <row r="17" spans="1:6">
      <c r="B17" s="26" t="s">
        <v>212</v>
      </c>
    </row>
    <row r="18" spans="1:6">
      <c r="B18" s="26" t="s">
        <v>213</v>
      </c>
    </row>
    <row r="20" spans="1:6">
      <c r="A20" s="26" t="s">
        <v>84</v>
      </c>
      <c r="B20" s="26" t="s">
        <v>95</v>
      </c>
    </row>
    <row r="21" spans="1:6">
      <c r="B21" s="26" t="s">
        <v>216</v>
      </c>
    </row>
    <row r="22" spans="1:6">
      <c r="B22" s="26" t="s">
        <v>217</v>
      </c>
    </row>
    <row r="23" spans="1:6">
      <c r="B23" s="26" t="s">
        <v>218</v>
      </c>
      <c r="C23" s="26" t="s">
        <v>289</v>
      </c>
    </row>
    <row r="25" spans="1:6">
      <c r="B25" s="26" t="s">
        <v>96</v>
      </c>
    </row>
    <row r="26" spans="1:6">
      <c r="B26" s="26" t="s">
        <v>98</v>
      </c>
    </row>
    <row r="28" spans="1:6">
      <c r="B28" s="26" t="s">
        <v>97</v>
      </c>
    </row>
    <row r="29" spans="1:6">
      <c r="B29" s="26" t="s">
        <v>99</v>
      </c>
    </row>
    <row r="31" spans="1:6">
      <c r="B31" s="26" t="s">
        <v>100</v>
      </c>
    </row>
    <row r="32" spans="1:6">
      <c r="B32" s="184" t="s">
        <v>101</v>
      </c>
      <c r="C32" s="184"/>
      <c r="D32" s="184"/>
      <c r="E32" s="184"/>
      <c r="F32" s="184"/>
    </row>
    <row r="33" spans="1:6">
      <c r="B33" s="184"/>
      <c r="C33" s="184"/>
      <c r="D33" s="184"/>
      <c r="E33" s="184"/>
      <c r="F33" s="184"/>
    </row>
    <row r="34" spans="1:6">
      <c r="B34" s="184"/>
      <c r="C34" s="184"/>
      <c r="D34" s="184"/>
      <c r="E34" s="184"/>
      <c r="F34" s="184"/>
    </row>
    <row r="35" spans="1:6">
      <c r="B35" s="184"/>
      <c r="C35" s="184"/>
      <c r="D35" s="184"/>
      <c r="E35" s="184"/>
      <c r="F35" s="184"/>
    </row>
    <row r="36" spans="1:6">
      <c r="B36" s="184"/>
      <c r="C36" s="184"/>
      <c r="D36" s="184"/>
      <c r="E36" s="184"/>
      <c r="F36" s="184"/>
    </row>
    <row r="39" spans="1:6">
      <c r="A39" s="26" t="s">
        <v>104</v>
      </c>
    </row>
    <row r="40" spans="1:6">
      <c r="B40" s="26" t="s">
        <v>105</v>
      </c>
    </row>
    <row r="41" spans="1:6">
      <c r="B41" s="26" t="s">
        <v>107</v>
      </c>
    </row>
    <row r="42" spans="1:6">
      <c r="B42" s="26" t="s">
        <v>108</v>
      </c>
    </row>
    <row r="44" spans="1:6">
      <c r="A44" s="26" t="s">
        <v>215</v>
      </c>
    </row>
    <row r="45" spans="1:6">
      <c r="A45" s="28" t="s">
        <v>106</v>
      </c>
      <c r="B45" s="26" t="s">
        <v>102</v>
      </c>
    </row>
    <row r="46" spans="1:6">
      <c r="B46" s="26" t="s">
        <v>103</v>
      </c>
    </row>
    <row r="47" spans="1:6">
      <c r="A47" s="28" t="s">
        <v>106</v>
      </c>
      <c r="B47" s="26" t="s">
        <v>214</v>
      </c>
    </row>
    <row r="48" spans="1:6">
      <c r="A48" s="28"/>
    </row>
  </sheetData>
  <mergeCells count="2">
    <mergeCell ref="B5:F11"/>
    <mergeCell ref="B32:F36"/>
  </mergeCells>
  <phoneticPr fontId="3"/>
  <dataValidations count="1">
    <dataValidation type="decimal" allowBlank="1" showInputMessage="1" showErrorMessage="1" sqref="F12:F13 B12:E13 B3:F11">
      <formula1>0.11</formula1>
      <formula2>0.111</formula2>
    </dataValidation>
  </dataValidations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U130"/>
  <sheetViews>
    <sheetView workbookViewId="0">
      <selection activeCell="D5" sqref="D5"/>
    </sheetView>
  </sheetViews>
  <sheetFormatPr defaultColWidth="0" defaultRowHeight="13.5"/>
  <cols>
    <col min="1" max="1" width="4.25" style="1" customWidth="1"/>
    <col min="2" max="2" width="12.5" style="1" customWidth="1"/>
    <col min="3" max="3" width="54.5" style="1" customWidth="1"/>
    <col min="4" max="6" width="11.875" style="1" customWidth="1"/>
    <col min="7" max="7" width="7.125" style="1" hidden="1" customWidth="1"/>
    <col min="8" max="253" width="0" style="1" hidden="1" customWidth="1"/>
    <col min="254" max="255" width="9" style="1" hidden="1" customWidth="1"/>
    <col min="256" max="16384" width="6.75" style="1" hidden="1"/>
  </cols>
  <sheetData>
    <row r="1" spans="1:6" ht="27.75" customHeight="1" thickBot="1">
      <c r="A1" s="23"/>
      <c r="B1" s="24" t="s">
        <v>42</v>
      </c>
      <c r="C1" s="21"/>
      <c r="D1" s="21"/>
      <c r="E1" s="25"/>
      <c r="F1" s="22"/>
    </row>
    <row r="2" spans="1:6">
      <c r="C2" s="1" t="s">
        <v>47</v>
      </c>
    </row>
    <row r="4" spans="1:6" ht="18" customHeight="1">
      <c r="A4" s="4" t="s">
        <v>6</v>
      </c>
      <c r="B4" s="4"/>
      <c r="C4" s="1" t="s">
        <v>48</v>
      </c>
    </row>
    <row r="5" spans="1:6">
      <c r="B5" s="15" t="s">
        <v>5</v>
      </c>
      <c r="C5" s="11" t="s">
        <v>362</v>
      </c>
    </row>
    <row r="7" spans="1:6" ht="17.25" customHeight="1">
      <c r="A7" s="4" t="s">
        <v>220</v>
      </c>
      <c r="B7" s="4"/>
      <c r="C7" s="1" t="s">
        <v>49</v>
      </c>
    </row>
    <row r="8" spans="1:6">
      <c r="B8" s="16" t="s">
        <v>9</v>
      </c>
      <c r="C8" s="16" t="s">
        <v>4</v>
      </c>
    </row>
    <row r="9" spans="1:6">
      <c r="B9" s="12">
        <v>1</v>
      </c>
      <c r="C9" s="11" t="s">
        <v>234</v>
      </c>
    </row>
    <row r="10" spans="1:6">
      <c r="B10" s="12">
        <v>2</v>
      </c>
      <c r="C10" s="11" t="s">
        <v>235</v>
      </c>
    </row>
    <row r="11" spans="1:6">
      <c r="B11" s="12">
        <v>3</v>
      </c>
      <c r="C11" s="11" t="s">
        <v>236</v>
      </c>
    </row>
    <row r="12" spans="1:6">
      <c r="B12" s="12">
        <v>4</v>
      </c>
      <c r="C12" s="11" t="s">
        <v>237</v>
      </c>
    </row>
    <row r="13" spans="1:6">
      <c r="B13" s="12">
        <v>5</v>
      </c>
      <c r="C13" s="11" t="s">
        <v>238</v>
      </c>
    </row>
    <row r="15" spans="1:6">
      <c r="B15" s="16" t="s">
        <v>219</v>
      </c>
      <c r="C15" s="16" t="s">
        <v>221</v>
      </c>
    </row>
    <row r="16" spans="1:6">
      <c r="B16" s="12">
        <v>1</v>
      </c>
      <c r="C16" s="11" t="s">
        <v>260</v>
      </c>
      <c r="D16" s="137" t="s">
        <v>226</v>
      </c>
      <c r="E16" s="137" t="s">
        <v>227</v>
      </c>
    </row>
    <row r="17" spans="1:6">
      <c r="B17" s="12">
        <v>2</v>
      </c>
      <c r="C17" s="11" t="s">
        <v>222</v>
      </c>
      <c r="D17" s="137" t="s">
        <v>225</v>
      </c>
      <c r="E17" s="137" t="s">
        <v>222</v>
      </c>
    </row>
    <row r="18" spans="1:6">
      <c r="B18" s="12">
        <v>3</v>
      </c>
      <c r="C18" s="11" t="s">
        <v>223</v>
      </c>
      <c r="D18" s="137" t="s">
        <v>228</v>
      </c>
      <c r="E18" s="137" t="s">
        <v>229</v>
      </c>
    </row>
    <row r="19" spans="1:6">
      <c r="B19" s="12">
        <v>4</v>
      </c>
      <c r="C19" s="11" t="s">
        <v>224</v>
      </c>
      <c r="D19" s="137" t="s">
        <v>229</v>
      </c>
      <c r="E19" s="137" t="s">
        <v>224</v>
      </c>
    </row>
    <row r="21" spans="1:6" ht="17.25" customHeight="1">
      <c r="A21" s="4" t="s">
        <v>46</v>
      </c>
      <c r="B21" s="4"/>
      <c r="C21" s="1" t="s">
        <v>50</v>
      </c>
    </row>
    <row r="22" spans="1:6" ht="27">
      <c r="B22" s="138" t="s">
        <v>7</v>
      </c>
      <c r="C22" s="140" t="s">
        <v>8</v>
      </c>
      <c r="D22" s="140" t="s">
        <v>9</v>
      </c>
      <c r="E22" s="141" t="s">
        <v>4</v>
      </c>
      <c r="F22" s="139" t="s">
        <v>232</v>
      </c>
    </row>
    <row r="23" spans="1:6">
      <c r="B23" s="5">
        <v>1</v>
      </c>
      <c r="C23" s="17" t="s">
        <v>239</v>
      </c>
      <c r="D23" s="18">
        <v>1</v>
      </c>
      <c r="E23" s="9" t="str">
        <f>VLOOKUP(D23,B$9:C$13,2,FALSE)</f>
        <v>台所</v>
      </c>
      <c r="F23" s="17"/>
    </row>
    <row r="24" spans="1:6">
      <c r="B24" s="6">
        <v>2</v>
      </c>
      <c r="C24" s="19" t="s">
        <v>240</v>
      </c>
      <c r="D24" s="13">
        <v>1</v>
      </c>
      <c r="E24" s="9" t="str">
        <f t="shared" ref="E24:E42" si="0">VLOOKUP(D24,B$9:C$13,2,FALSE)</f>
        <v>台所</v>
      </c>
      <c r="F24" s="19"/>
    </row>
    <row r="25" spans="1:6">
      <c r="B25" s="6">
        <v>3</v>
      </c>
      <c r="C25" s="19" t="s">
        <v>241</v>
      </c>
      <c r="D25" s="13">
        <v>1</v>
      </c>
      <c r="E25" s="9" t="str">
        <f t="shared" si="0"/>
        <v>台所</v>
      </c>
      <c r="F25" s="19"/>
    </row>
    <row r="26" spans="1:6">
      <c r="B26" s="6">
        <v>4</v>
      </c>
      <c r="C26" s="19" t="s">
        <v>242</v>
      </c>
      <c r="D26" s="13">
        <v>1</v>
      </c>
      <c r="E26" s="9" t="str">
        <f t="shared" si="0"/>
        <v>台所</v>
      </c>
      <c r="F26" s="19"/>
    </row>
    <row r="27" spans="1:6">
      <c r="B27" s="6">
        <v>5</v>
      </c>
      <c r="C27" s="19" t="s">
        <v>243</v>
      </c>
      <c r="D27" s="13">
        <v>1</v>
      </c>
      <c r="E27" s="9" t="str">
        <f t="shared" si="0"/>
        <v>台所</v>
      </c>
      <c r="F27" s="19"/>
    </row>
    <row r="28" spans="1:6">
      <c r="B28" s="6">
        <v>6</v>
      </c>
      <c r="C28" s="19" t="s">
        <v>244</v>
      </c>
      <c r="D28" s="13">
        <v>2</v>
      </c>
      <c r="E28" s="9" t="str">
        <f t="shared" si="0"/>
        <v>部屋・生活</v>
      </c>
      <c r="F28" s="19"/>
    </row>
    <row r="29" spans="1:6">
      <c r="B29" s="6">
        <v>7</v>
      </c>
      <c r="C29" s="19" t="s">
        <v>290</v>
      </c>
      <c r="D29" s="13">
        <v>2</v>
      </c>
      <c r="E29" s="9" t="str">
        <f t="shared" si="0"/>
        <v>部屋・生活</v>
      </c>
      <c r="F29" s="19"/>
    </row>
    <row r="30" spans="1:6">
      <c r="B30" s="6">
        <v>8</v>
      </c>
      <c r="C30" s="19" t="s">
        <v>291</v>
      </c>
      <c r="D30" s="13">
        <v>2</v>
      </c>
      <c r="E30" s="9" t="str">
        <f t="shared" si="0"/>
        <v>部屋・生活</v>
      </c>
      <c r="F30" s="19"/>
    </row>
    <row r="31" spans="1:6">
      <c r="B31" s="6">
        <v>9</v>
      </c>
      <c r="C31" s="19" t="s">
        <v>245</v>
      </c>
      <c r="D31" s="13">
        <v>2</v>
      </c>
      <c r="E31" s="9" t="str">
        <f t="shared" si="0"/>
        <v>部屋・生活</v>
      </c>
      <c r="F31" s="19"/>
    </row>
    <row r="32" spans="1:6">
      <c r="B32" s="6">
        <v>10</v>
      </c>
      <c r="C32" s="19" t="s">
        <v>246</v>
      </c>
      <c r="D32" s="13">
        <v>2</v>
      </c>
      <c r="E32" s="9" t="str">
        <f t="shared" si="0"/>
        <v>部屋・生活</v>
      </c>
      <c r="F32" s="19"/>
    </row>
    <row r="33" spans="1:6">
      <c r="B33" s="6">
        <v>11</v>
      </c>
      <c r="C33" s="19" t="s">
        <v>247</v>
      </c>
      <c r="D33" s="13">
        <v>3</v>
      </c>
      <c r="E33" s="9" t="str">
        <f t="shared" si="0"/>
        <v>風呂・洗面</v>
      </c>
      <c r="F33" s="19"/>
    </row>
    <row r="34" spans="1:6">
      <c r="B34" s="6">
        <v>12</v>
      </c>
      <c r="C34" s="19" t="s">
        <v>248</v>
      </c>
      <c r="D34" s="13">
        <v>3</v>
      </c>
      <c r="E34" s="9" t="str">
        <f t="shared" si="0"/>
        <v>風呂・洗面</v>
      </c>
      <c r="F34" s="19"/>
    </row>
    <row r="35" spans="1:6">
      <c r="B35" s="6">
        <v>13</v>
      </c>
      <c r="C35" s="19" t="s">
        <v>249</v>
      </c>
      <c r="D35" s="13">
        <v>3</v>
      </c>
      <c r="E35" s="9" t="str">
        <f t="shared" si="0"/>
        <v>風呂・洗面</v>
      </c>
      <c r="F35" s="19"/>
    </row>
    <row r="36" spans="1:6">
      <c r="B36" s="6">
        <v>14</v>
      </c>
      <c r="C36" s="19" t="s">
        <v>250</v>
      </c>
      <c r="D36" s="13">
        <v>4</v>
      </c>
      <c r="E36" s="9" t="str">
        <f t="shared" si="0"/>
        <v>掃除洗濯</v>
      </c>
      <c r="F36" s="19"/>
    </row>
    <row r="37" spans="1:6">
      <c r="B37" s="6">
        <v>15</v>
      </c>
      <c r="C37" s="19" t="s">
        <v>251</v>
      </c>
      <c r="D37" s="13">
        <v>4</v>
      </c>
      <c r="E37" s="9" t="str">
        <f t="shared" si="0"/>
        <v>掃除洗濯</v>
      </c>
      <c r="F37" s="19"/>
    </row>
    <row r="38" spans="1:6">
      <c r="B38" s="6">
        <v>16</v>
      </c>
      <c r="C38" s="19" t="s">
        <v>252</v>
      </c>
      <c r="D38" s="13">
        <v>4</v>
      </c>
      <c r="E38" s="9" t="str">
        <f t="shared" si="0"/>
        <v>掃除洗濯</v>
      </c>
      <c r="F38" s="19"/>
    </row>
    <row r="39" spans="1:6">
      <c r="B39" s="6">
        <v>17</v>
      </c>
      <c r="C39" s="19" t="s">
        <v>253</v>
      </c>
      <c r="D39" s="13">
        <v>5</v>
      </c>
      <c r="E39" s="9" t="str">
        <f t="shared" si="0"/>
        <v>買い物・外出</v>
      </c>
      <c r="F39" s="19"/>
    </row>
    <row r="40" spans="1:6">
      <c r="B40" s="6">
        <v>18</v>
      </c>
      <c r="C40" s="19" t="s">
        <v>254</v>
      </c>
      <c r="D40" s="13">
        <v>5</v>
      </c>
      <c r="E40" s="9" t="str">
        <f t="shared" si="0"/>
        <v>買い物・外出</v>
      </c>
      <c r="F40" s="19"/>
    </row>
    <row r="41" spans="1:6">
      <c r="B41" s="6">
        <v>19</v>
      </c>
      <c r="C41" s="19" t="s">
        <v>255</v>
      </c>
      <c r="D41" s="13">
        <v>5</v>
      </c>
      <c r="E41" s="9" t="str">
        <f t="shared" si="0"/>
        <v>買い物・外出</v>
      </c>
      <c r="F41" s="19"/>
    </row>
    <row r="42" spans="1:6">
      <c r="B42" s="7">
        <v>20</v>
      </c>
      <c r="C42" s="20" t="s">
        <v>256</v>
      </c>
      <c r="D42" s="14">
        <v>5</v>
      </c>
      <c r="E42" s="10" t="str">
        <f t="shared" si="0"/>
        <v>買い物・外出</v>
      </c>
      <c r="F42" s="20"/>
    </row>
    <row r="44" spans="1:6" ht="17.25" customHeight="1">
      <c r="A44" s="4" t="s">
        <v>136</v>
      </c>
      <c r="B44" s="4"/>
      <c r="C44" s="1" t="s">
        <v>354</v>
      </c>
    </row>
    <row r="45" spans="1:6" ht="17.25" customHeight="1">
      <c r="C45" s="1" t="s">
        <v>355</v>
      </c>
    </row>
    <row r="46" spans="1:6" ht="17.25" customHeight="1">
      <c r="C46" s="1" t="s">
        <v>356</v>
      </c>
    </row>
    <row r="47" spans="1:6" ht="17.25" customHeight="1">
      <c r="C47" s="1" t="s">
        <v>357</v>
      </c>
    </row>
    <row r="48" spans="1:6" ht="17.25" customHeight="1">
      <c r="D48" s="12" t="s">
        <v>344</v>
      </c>
      <c r="E48" s="12" t="s">
        <v>141</v>
      </c>
      <c r="F48" s="12" t="s">
        <v>142</v>
      </c>
    </row>
    <row r="49" spans="1:6" ht="15.75" customHeight="1">
      <c r="B49" s="8" t="s">
        <v>134</v>
      </c>
      <c r="C49" s="129" t="s">
        <v>350</v>
      </c>
      <c r="D49" s="11"/>
    </row>
    <row r="50" spans="1:6" ht="15.75" customHeight="1">
      <c r="B50" s="9"/>
      <c r="C50" s="129" t="s">
        <v>351</v>
      </c>
      <c r="D50" s="11">
        <v>373.73</v>
      </c>
    </row>
    <row r="51" spans="1:6" ht="15.75" customHeight="1">
      <c r="B51" s="9" t="s">
        <v>345</v>
      </c>
      <c r="C51" s="129" t="s">
        <v>358</v>
      </c>
      <c r="E51" s="11">
        <v>21.92</v>
      </c>
      <c r="F51" s="11">
        <v>120</v>
      </c>
    </row>
    <row r="52" spans="1:6" ht="15.75" customHeight="1">
      <c r="B52" s="9"/>
      <c r="C52" s="129" t="s">
        <v>339</v>
      </c>
      <c r="E52" s="180">
        <v>28.35</v>
      </c>
      <c r="F52" s="180">
        <v>300</v>
      </c>
    </row>
    <row r="53" spans="1:6" ht="15.75" customHeight="1">
      <c r="B53" s="9"/>
      <c r="C53" s="129" t="s">
        <v>340</v>
      </c>
      <c r="E53" s="180">
        <f>33.32</f>
        <v>33.32</v>
      </c>
    </row>
    <row r="54" spans="1:6" ht="15.75" customHeight="1">
      <c r="B54" s="9"/>
      <c r="C54" s="129" t="s">
        <v>360</v>
      </c>
      <c r="E54" s="180">
        <f>-2.32+2.64</f>
        <v>0.32000000000000028</v>
      </c>
    </row>
    <row r="55" spans="1:6" ht="15.75" customHeight="1">
      <c r="B55" s="8" t="s">
        <v>135</v>
      </c>
      <c r="C55" s="129" t="s">
        <v>359</v>
      </c>
      <c r="D55" s="11">
        <v>745.2</v>
      </c>
      <c r="E55">
        <v>156.93</v>
      </c>
      <c r="F55" s="11">
        <v>20</v>
      </c>
    </row>
    <row r="56" spans="1:6" ht="15.75" customHeight="1">
      <c r="B56" s="9" t="s">
        <v>346</v>
      </c>
      <c r="C56" s="129" t="s">
        <v>341</v>
      </c>
      <c r="D56" s="11">
        <v>1337.4</v>
      </c>
      <c r="E56">
        <v>127.32</v>
      </c>
      <c r="F56" s="11">
        <v>50</v>
      </c>
    </row>
    <row r="57" spans="1:6" ht="15.75" customHeight="1">
      <c r="B57" s="9"/>
      <c r="C57" s="129" t="s">
        <v>342</v>
      </c>
      <c r="D57" s="11">
        <v>1595.9</v>
      </c>
      <c r="E57" s="11">
        <v>146.91</v>
      </c>
    </row>
    <row r="58" spans="1:6" ht="15.75" customHeight="1">
      <c r="B58" s="8" t="s">
        <v>131</v>
      </c>
      <c r="C58" s="129" t="s">
        <v>343</v>
      </c>
      <c r="D58" s="11"/>
      <c r="E58" s="11">
        <v>756.6</v>
      </c>
      <c r="F58" s="11"/>
    </row>
    <row r="59" spans="1:6" ht="15.75" customHeight="1">
      <c r="B59" s="10" t="s">
        <v>346</v>
      </c>
      <c r="C59" s="129" t="s">
        <v>330</v>
      </c>
      <c r="D59" s="11"/>
      <c r="E59" s="11"/>
    </row>
    <row r="60" spans="1:6" ht="15.75" customHeight="1">
      <c r="B60" s="12" t="s">
        <v>347</v>
      </c>
      <c r="C60" s="127"/>
      <c r="E60" s="183">
        <f>1490/18</f>
        <v>82.777777777777771</v>
      </c>
    </row>
    <row r="61" spans="1:6" ht="15.75" customHeight="1">
      <c r="B61" s="12" t="s">
        <v>348</v>
      </c>
      <c r="C61" s="127"/>
      <c r="E61" s="11">
        <v>134</v>
      </c>
    </row>
    <row r="63" spans="1:6" ht="19.5" customHeight="1">
      <c r="A63" s="4" t="s">
        <v>147</v>
      </c>
      <c r="B63" s="4"/>
      <c r="C63" s="1" t="s">
        <v>211</v>
      </c>
    </row>
    <row r="64" spans="1:6" ht="4.5" customHeight="1"/>
    <row r="65" spans="1:5" ht="17.25" customHeight="1">
      <c r="B65" s="12" t="s">
        <v>134</v>
      </c>
      <c r="C65" s="127" t="s">
        <v>329</v>
      </c>
      <c r="D65" s="11">
        <v>0.55000000000000004</v>
      </c>
      <c r="E65" s="1" t="s">
        <v>148</v>
      </c>
    </row>
    <row r="66" spans="1:5" ht="17.25" customHeight="1">
      <c r="B66" s="12" t="s">
        <v>135</v>
      </c>
      <c r="C66" s="127" t="s">
        <v>292</v>
      </c>
      <c r="D66" s="11">
        <v>2.23</v>
      </c>
      <c r="E66" s="1" t="s">
        <v>149</v>
      </c>
    </row>
    <row r="67" spans="1:5" ht="17.25" customHeight="1">
      <c r="B67" s="12" t="s">
        <v>131</v>
      </c>
      <c r="C67" s="127" t="s">
        <v>293</v>
      </c>
      <c r="D67" s="11">
        <v>5.98</v>
      </c>
      <c r="E67" s="1" t="s">
        <v>149</v>
      </c>
    </row>
    <row r="68" spans="1:5" ht="17.25" customHeight="1">
      <c r="B68" s="12" t="s">
        <v>28</v>
      </c>
      <c r="C68" s="127" t="s">
        <v>292</v>
      </c>
      <c r="D68" s="11">
        <v>2.492</v>
      </c>
      <c r="E68" s="1" t="s">
        <v>150</v>
      </c>
    </row>
    <row r="69" spans="1:5" ht="17.25" customHeight="1">
      <c r="B69" s="12" t="s">
        <v>34</v>
      </c>
      <c r="C69" s="127" t="s">
        <v>292</v>
      </c>
      <c r="D69" s="11">
        <v>2.3220000000000001</v>
      </c>
      <c r="E69" s="1" t="s">
        <v>150</v>
      </c>
    </row>
    <row r="71" spans="1:5" ht="19.5" customHeight="1">
      <c r="A71" s="4" t="s">
        <v>151</v>
      </c>
      <c r="B71" s="4"/>
      <c r="C71" s="1" t="s">
        <v>210</v>
      </c>
    </row>
    <row r="72" spans="1:5" ht="6.75" customHeight="1"/>
    <row r="73" spans="1:5" ht="17.25" customHeight="1">
      <c r="C73" s="11" t="s">
        <v>179</v>
      </c>
    </row>
    <row r="75" spans="1:5" ht="17.25" customHeight="1">
      <c r="A75" s="4" t="s">
        <v>262</v>
      </c>
      <c r="B75" s="4"/>
      <c r="C75" s="1" t="s">
        <v>263</v>
      </c>
    </row>
    <row r="76" spans="1:5" ht="6" customHeight="1"/>
    <row r="77" spans="1:5" ht="16.5" customHeight="1">
      <c r="C77" s="11" t="s">
        <v>265</v>
      </c>
    </row>
    <row r="81" spans="5:6" hidden="1">
      <c r="E81" s="1" t="s">
        <v>206</v>
      </c>
      <c r="F81" s="1" t="s">
        <v>264</v>
      </c>
    </row>
    <row r="82" spans="5:6" hidden="1">
      <c r="E82" s="1" t="s">
        <v>153</v>
      </c>
      <c r="F82" s="1" t="s">
        <v>265</v>
      </c>
    </row>
    <row r="83" spans="5:6" hidden="1">
      <c r="E83" s="1" t="s">
        <v>154</v>
      </c>
    </row>
    <row r="84" spans="5:6" hidden="1">
      <c r="E84" s="1" t="s">
        <v>155</v>
      </c>
    </row>
    <row r="85" spans="5:6" hidden="1">
      <c r="E85" s="1" t="s">
        <v>156</v>
      </c>
    </row>
    <row r="86" spans="5:6" hidden="1">
      <c r="E86" s="1" t="s">
        <v>157</v>
      </c>
    </row>
    <row r="87" spans="5:6" hidden="1">
      <c r="E87" s="1" t="s">
        <v>158</v>
      </c>
    </row>
    <row r="88" spans="5:6" hidden="1">
      <c r="E88" s="1" t="s">
        <v>159</v>
      </c>
    </row>
    <row r="89" spans="5:6" hidden="1">
      <c r="E89" s="1" t="s">
        <v>160</v>
      </c>
    </row>
    <row r="90" spans="5:6" hidden="1">
      <c r="E90" s="1" t="s">
        <v>161</v>
      </c>
    </row>
    <row r="91" spans="5:6" hidden="1">
      <c r="E91" s="1" t="s">
        <v>162</v>
      </c>
    </row>
    <row r="92" spans="5:6" hidden="1">
      <c r="E92" s="1" t="s">
        <v>163</v>
      </c>
    </row>
    <row r="93" spans="5:6" hidden="1">
      <c r="E93" s="1" t="s">
        <v>164</v>
      </c>
    </row>
    <row r="94" spans="5:6" hidden="1">
      <c r="E94" s="1" t="s">
        <v>165</v>
      </c>
    </row>
    <row r="95" spans="5:6" hidden="1">
      <c r="E95" s="1" t="s">
        <v>166</v>
      </c>
    </row>
    <row r="96" spans="5:6" hidden="1">
      <c r="E96" s="1" t="s">
        <v>167</v>
      </c>
    </row>
    <row r="97" spans="5:5" hidden="1">
      <c r="E97" s="1" t="s">
        <v>168</v>
      </c>
    </row>
    <row r="98" spans="5:5" hidden="1">
      <c r="E98" s="1" t="s">
        <v>169</v>
      </c>
    </row>
    <row r="99" spans="5:5" hidden="1">
      <c r="E99" s="1" t="s">
        <v>170</v>
      </c>
    </row>
    <row r="100" spans="5:5" hidden="1">
      <c r="E100" s="1" t="s">
        <v>171</v>
      </c>
    </row>
    <row r="101" spans="5:5" hidden="1">
      <c r="E101" s="1" t="s">
        <v>172</v>
      </c>
    </row>
    <row r="102" spans="5:5" hidden="1">
      <c r="E102" s="1" t="s">
        <v>173</v>
      </c>
    </row>
    <row r="103" spans="5:5" hidden="1">
      <c r="E103" s="1" t="s">
        <v>174</v>
      </c>
    </row>
    <row r="104" spans="5:5" hidden="1">
      <c r="E104" s="1" t="s">
        <v>175</v>
      </c>
    </row>
    <row r="105" spans="5:5" hidden="1">
      <c r="E105" s="1" t="s">
        <v>176</v>
      </c>
    </row>
    <row r="106" spans="5:5" hidden="1">
      <c r="E106" s="1" t="s">
        <v>177</v>
      </c>
    </row>
    <row r="107" spans="5:5" hidden="1">
      <c r="E107" s="1" t="s">
        <v>178</v>
      </c>
    </row>
    <row r="108" spans="5:5" hidden="1">
      <c r="E108" s="1" t="s">
        <v>179</v>
      </c>
    </row>
    <row r="109" spans="5:5" hidden="1">
      <c r="E109" s="1" t="s">
        <v>180</v>
      </c>
    </row>
    <row r="110" spans="5:5" hidden="1">
      <c r="E110" s="1" t="s">
        <v>181</v>
      </c>
    </row>
    <row r="111" spans="5:5" hidden="1">
      <c r="E111" s="1" t="s">
        <v>182</v>
      </c>
    </row>
    <row r="112" spans="5:5" hidden="1">
      <c r="E112" s="1" t="s">
        <v>183</v>
      </c>
    </row>
    <row r="113" spans="5:5" hidden="1">
      <c r="E113" s="1" t="s">
        <v>184</v>
      </c>
    </row>
    <row r="114" spans="5:5" hidden="1">
      <c r="E114" s="1" t="s">
        <v>185</v>
      </c>
    </row>
    <row r="115" spans="5:5" hidden="1">
      <c r="E115" s="1" t="s">
        <v>186</v>
      </c>
    </row>
    <row r="116" spans="5:5" hidden="1">
      <c r="E116" s="1" t="s">
        <v>187</v>
      </c>
    </row>
    <row r="117" spans="5:5" hidden="1">
      <c r="E117" s="1" t="s">
        <v>188</v>
      </c>
    </row>
    <row r="118" spans="5:5" hidden="1">
      <c r="E118" s="1" t="s">
        <v>189</v>
      </c>
    </row>
    <row r="119" spans="5:5" hidden="1">
      <c r="E119" s="1" t="s">
        <v>190</v>
      </c>
    </row>
    <row r="120" spans="5:5" hidden="1">
      <c r="E120" s="1" t="s">
        <v>191</v>
      </c>
    </row>
    <row r="121" spans="5:5" hidden="1">
      <c r="E121" s="1" t="s">
        <v>192</v>
      </c>
    </row>
    <row r="122" spans="5:5" hidden="1">
      <c r="E122" s="1" t="s">
        <v>193</v>
      </c>
    </row>
    <row r="123" spans="5:5" hidden="1">
      <c r="E123" s="1" t="s">
        <v>194</v>
      </c>
    </row>
    <row r="124" spans="5:5" hidden="1">
      <c r="E124" s="1" t="s">
        <v>195</v>
      </c>
    </row>
    <row r="125" spans="5:5" hidden="1">
      <c r="E125" s="1" t="s">
        <v>196</v>
      </c>
    </row>
    <row r="126" spans="5:5" hidden="1">
      <c r="E126" s="1" t="s">
        <v>197</v>
      </c>
    </row>
    <row r="127" spans="5:5" hidden="1">
      <c r="E127" s="1" t="s">
        <v>198</v>
      </c>
    </row>
    <row r="128" spans="5:5" hidden="1">
      <c r="E128" s="1" t="s">
        <v>199</v>
      </c>
    </row>
    <row r="129" spans="5:5" hidden="1">
      <c r="E129" s="1" t="s">
        <v>200</v>
      </c>
    </row>
    <row r="130" spans="5:5" hidden="1">
      <c r="E130" s="1" t="s">
        <v>201</v>
      </c>
    </row>
  </sheetData>
  <phoneticPr fontId="3"/>
  <dataValidations count="8">
    <dataValidation type="decimal" allowBlank="1" showInputMessage="1" showErrorMessage="1" sqref="C43:D43 A70:E72 A65:B69 C74:C76 C78 E62 A62:D64 D73:E65536 D44:F48 C1:C4 B1:B13 G1:IV1048576 A20:F22 A1:A6 C6:C8 A14:C15 A16:B19 A8:A13 D1:F19 F43 E23:E43 A79:C65536 F83:F65536 F65:F80 A73:B78 A23:B61 C44:C47 F59:F62 C60:D61 D52:D54 F57 F53:F54">
      <formula1>0.00001</formula1>
      <formula2>0.000011</formula2>
    </dataValidation>
    <dataValidation type="whole" allowBlank="1" showInputMessage="1" showErrorMessage="1" sqref="F23:F42 D23:D42">
      <formula1>1</formula1>
      <formula2>5</formula2>
    </dataValidation>
    <dataValidation type="list" allowBlank="1" showInputMessage="1" showErrorMessage="1" sqref="C73">
      <formula1>$E$81:$E$130</formula1>
    </dataValidation>
    <dataValidation type="list" showInputMessage="1" showErrorMessage="1" sqref="C19">
      <formula1>$D$19:$E$19</formula1>
    </dataValidation>
    <dataValidation type="list" showInputMessage="1" showErrorMessage="1" sqref="C18">
      <formula1>$D$18:$E$18</formula1>
    </dataValidation>
    <dataValidation type="list" showInputMessage="1" showErrorMessage="1" sqref="C17">
      <formula1>$D$17:$E$17</formula1>
    </dataValidation>
    <dataValidation type="list" showInputMessage="1" showErrorMessage="1" sqref="C16">
      <formula1>$D$16:$E$16</formula1>
    </dataValidation>
    <dataValidation type="list" allowBlank="1" showInputMessage="1" showErrorMessage="1" sqref="C77">
      <formula1>$F$81:$F$82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3"/>
  <sheetViews>
    <sheetView workbookViewId="0">
      <selection activeCell="B4" sqref="B4"/>
    </sheetView>
  </sheetViews>
  <sheetFormatPr defaultRowHeight="13.5"/>
  <cols>
    <col min="1" max="11" width="7.25" style="26" customWidth="1"/>
    <col min="12" max="12" width="8.5" style="26" customWidth="1"/>
    <col min="13" max="13" width="3.875" style="26" customWidth="1"/>
    <col min="14" max="16384" width="9" style="26"/>
  </cols>
  <sheetData>
    <row r="1" spans="1:12">
      <c r="A1" s="26" t="str">
        <f>初期設定!C5</f>
        <v>エコライフチェック2019</v>
      </c>
    </row>
    <row r="2" spans="1:12" ht="25.5">
      <c r="A2" s="88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4" spans="1:12">
      <c r="A4" s="26" t="s">
        <v>86</v>
      </c>
    </row>
    <row r="5" spans="1:12" ht="12" customHeight="1">
      <c r="L5" s="175" t="s">
        <v>287</v>
      </c>
    </row>
    <row r="6" spans="1:12">
      <c r="A6" s="26" t="s">
        <v>117</v>
      </c>
    </row>
    <row r="7" spans="1:12" ht="7.5" customHeight="1"/>
    <row r="8" spans="1:12" ht="59.25" customHeight="1">
      <c r="A8" s="96"/>
      <c r="B8" s="96"/>
      <c r="C8" s="96"/>
      <c r="D8" s="96"/>
      <c r="E8" s="96"/>
      <c r="F8" s="96"/>
      <c r="G8" s="96"/>
      <c r="H8" s="96"/>
      <c r="I8" s="192" t="str">
        <f>"　　1　"&amp;初期設定!C16&amp;L5&amp;"　　2　"&amp;初期設定!C17&amp;L5&amp;"　　3　"&amp;初期設定!C18&amp;L5&amp;"　　4　"&amp;初期設定!C19</f>
        <v>　　1　できている
　　2　半分くらい
　　3　できていない
　　4　持っていない・関係ない</v>
      </c>
      <c r="J8" s="192"/>
      <c r="K8" s="192"/>
      <c r="L8" s="192"/>
    </row>
    <row r="9" spans="1:12" ht="24.75" customHeight="1">
      <c r="A9" s="185" t="str">
        <f>"("&amp;初期設定!B23&amp;")"&amp;初期設定!C23</f>
        <v>(1)冷蔵庫のドアの開閉は回数を減らす</v>
      </c>
      <c r="B9" s="185"/>
      <c r="C9" s="185"/>
      <c r="D9" s="185"/>
      <c r="E9" s="185"/>
      <c r="F9" s="185"/>
      <c r="G9" s="185"/>
      <c r="H9" s="185"/>
      <c r="I9" s="97">
        <v>1</v>
      </c>
      <c r="J9" s="97">
        <v>2</v>
      </c>
      <c r="K9" s="97">
        <v>3</v>
      </c>
      <c r="L9" s="97">
        <v>4</v>
      </c>
    </row>
    <row r="10" spans="1:12" ht="24.75" customHeight="1">
      <c r="A10" s="185" t="str">
        <f>"("&amp;初期設定!B24&amp;")"&amp;初期設定!C24</f>
        <v>(2)食器洗いで節水を心がける</v>
      </c>
      <c r="B10" s="185"/>
      <c r="C10" s="185"/>
      <c r="D10" s="185"/>
      <c r="E10" s="185"/>
      <c r="F10" s="185"/>
      <c r="G10" s="185"/>
      <c r="H10" s="185"/>
      <c r="I10" s="97">
        <v>1</v>
      </c>
      <c r="J10" s="97">
        <v>2</v>
      </c>
      <c r="K10" s="97">
        <v>3</v>
      </c>
      <c r="L10" s="97">
        <v>4</v>
      </c>
    </row>
    <row r="11" spans="1:12" ht="24.75" customHeight="1">
      <c r="A11" s="185" t="str">
        <f>"("&amp;初期設定!B25&amp;")"&amp;初期設定!C25</f>
        <v>(3)生ゴミは水分を十分切って出すか、コンポストしている</v>
      </c>
      <c r="B11" s="185"/>
      <c r="C11" s="185"/>
      <c r="D11" s="185"/>
      <c r="E11" s="185"/>
      <c r="F11" s="185"/>
      <c r="G11" s="185"/>
      <c r="H11" s="185"/>
      <c r="I11" s="97">
        <v>1</v>
      </c>
      <c r="J11" s="97">
        <v>2</v>
      </c>
      <c r="K11" s="97">
        <v>3</v>
      </c>
      <c r="L11" s="97">
        <v>4</v>
      </c>
    </row>
    <row r="12" spans="1:12" ht="24.75" customHeight="1">
      <c r="A12" s="185" t="str">
        <f>"("&amp;初期設定!B26&amp;")"&amp;初期設定!C26</f>
        <v>(4)電子レンジや冷蔵庫保存はラップを使わず、ふた付き容器を使用する</v>
      </c>
      <c r="B12" s="185"/>
      <c r="C12" s="185"/>
      <c r="D12" s="185"/>
      <c r="E12" s="185"/>
      <c r="F12" s="185"/>
      <c r="G12" s="185"/>
      <c r="H12" s="185"/>
      <c r="I12" s="97">
        <v>1</v>
      </c>
      <c r="J12" s="97">
        <v>2</v>
      </c>
      <c r="K12" s="97">
        <v>3</v>
      </c>
      <c r="L12" s="97">
        <v>4</v>
      </c>
    </row>
    <row r="13" spans="1:12" ht="24.75" customHeight="1">
      <c r="A13" s="185" t="str">
        <f>"("&amp;初期設定!B27&amp;")"&amp;初期設定!C27</f>
        <v>(5)使い切る分だけお湯を沸かす</v>
      </c>
      <c r="B13" s="185"/>
      <c r="C13" s="185"/>
      <c r="D13" s="185"/>
      <c r="E13" s="185"/>
      <c r="F13" s="185"/>
      <c r="G13" s="185"/>
      <c r="H13" s="185"/>
      <c r="I13" s="97">
        <v>1</v>
      </c>
      <c r="J13" s="97">
        <v>2</v>
      </c>
      <c r="K13" s="97">
        <v>3</v>
      </c>
      <c r="L13" s="97">
        <v>4</v>
      </c>
    </row>
    <row r="14" spans="1:12" ht="24.75" customHeight="1">
      <c r="A14" s="185" t="str">
        <f>"("&amp;初期設定!B28&amp;")"&amp;初期設定!C28</f>
        <v>(6)使っていない部屋の照明はこまめに消す</v>
      </c>
      <c r="B14" s="185"/>
      <c r="C14" s="185"/>
      <c r="D14" s="185"/>
      <c r="E14" s="185"/>
      <c r="F14" s="185"/>
      <c r="G14" s="185"/>
      <c r="H14" s="185"/>
      <c r="I14" s="97">
        <v>1</v>
      </c>
      <c r="J14" s="97">
        <v>2</v>
      </c>
      <c r="K14" s="97">
        <v>3</v>
      </c>
      <c r="L14" s="97">
        <v>4</v>
      </c>
    </row>
    <row r="15" spans="1:12" ht="24.75" customHeight="1">
      <c r="A15" s="185" t="str">
        <f>"("&amp;初期設定!B29&amp;")"&amp;初期設定!C29</f>
        <v>(7)テレビは点けっぱなしにせず、見たい番組のときだけ点ける</v>
      </c>
      <c r="B15" s="185"/>
      <c r="C15" s="185"/>
      <c r="D15" s="185"/>
      <c r="E15" s="185"/>
      <c r="F15" s="185"/>
      <c r="G15" s="185"/>
      <c r="H15" s="185"/>
      <c r="I15" s="97">
        <v>1</v>
      </c>
      <c r="J15" s="97">
        <v>2</v>
      </c>
      <c r="K15" s="97">
        <v>3</v>
      </c>
      <c r="L15" s="97">
        <v>4</v>
      </c>
    </row>
    <row r="16" spans="1:12" ht="24.75" customHeight="1">
      <c r="A16" s="185" t="str">
        <f>"("&amp;初期設定!B30&amp;")"&amp;初期設定!C30</f>
        <v>(8)冷暖房の設定を控えめにする（冷房は28℃、暖房は20℃が目安）</v>
      </c>
      <c r="B16" s="185"/>
      <c r="C16" s="185"/>
      <c r="D16" s="185"/>
      <c r="E16" s="185"/>
      <c r="F16" s="185"/>
      <c r="G16" s="185"/>
      <c r="H16" s="185"/>
      <c r="I16" s="97">
        <v>1</v>
      </c>
      <c r="J16" s="97">
        <v>2</v>
      </c>
      <c r="K16" s="97">
        <v>3</v>
      </c>
      <c r="L16" s="97">
        <v>4</v>
      </c>
    </row>
    <row r="17" spans="1:13" ht="24.75" customHeight="1">
      <c r="A17" s="185" t="str">
        <f>"("&amp;初期設定!B31&amp;")"&amp;初期設定!C31</f>
        <v>(9)物は大切に、長く使うように心がける</v>
      </c>
      <c r="B17" s="185"/>
      <c r="C17" s="185"/>
      <c r="D17" s="185"/>
      <c r="E17" s="185"/>
      <c r="F17" s="185"/>
      <c r="G17" s="185"/>
      <c r="H17" s="185"/>
      <c r="I17" s="97">
        <v>1</v>
      </c>
      <c r="J17" s="97">
        <v>2</v>
      </c>
      <c r="K17" s="97">
        <v>3</v>
      </c>
      <c r="L17" s="97">
        <v>4</v>
      </c>
    </row>
    <row r="18" spans="1:13" ht="24.75" customHeight="1">
      <c r="A18" s="185" t="str">
        <f>"("&amp;初期設定!B32&amp;")"&amp;初期設定!C32</f>
        <v>(10)家族で「省エネ」「リサイクル」「環境問題」などの話をする</v>
      </c>
      <c r="B18" s="185"/>
      <c r="C18" s="185"/>
      <c r="D18" s="185"/>
      <c r="E18" s="185"/>
      <c r="F18" s="185"/>
      <c r="G18" s="185"/>
      <c r="H18" s="185"/>
      <c r="I18" s="97">
        <v>1</v>
      </c>
      <c r="J18" s="97">
        <v>2</v>
      </c>
      <c r="K18" s="97">
        <v>3</v>
      </c>
      <c r="L18" s="97">
        <v>4</v>
      </c>
    </row>
    <row r="19" spans="1:13" ht="24.75" customHeight="1">
      <c r="A19" s="185" t="str">
        <f>"("&amp;初期設定!B33&amp;")"&amp;初期設定!C33</f>
        <v>(11)シャワーで使用するお湯を少なくするよう気をつける</v>
      </c>
      <c r="B19" s="185"/>
      <c r="C19" s="185"/>
      <c r="D19" s="185"/>
      <c r="E19" s="185"/>
      <c r="F19" s="185"/>
      <c r="G19" s="185"/>
      <c r="H19" s="185"/>
      <c r="I19" s="97">
        <v>1</v>
      </c>
      <c r="J19" s="97">
        <v>2</v>
      </c>
      <c r="K19" s="97">
        <v>3</v>
      </c>
      <c r="L19" s="97">
        <v>4</v>
      </c>
    </row>
    <row r="20" spans="1:13" ht="24.75" customHeight="1">
      <c r="A20" s="185" t="str">
        <f>"("&amp;初期設定!B34&amp;")"&amp;初期設定!C34</f>
        <v>(12)お風呂はさめないうちに、家族が続けて入る</v>
      </c>
      <c r="B20" s="185"/>
      <c r="C20" s="185"/>
      <c r="D20" s="185"/>
      <c r="E20" s="185"/>
      <c r="F20" s="185"/>
      <c r="G20" s="185"/>
      <c r="H20" s="185"/>
      <c r="I20" s="97">
        <v>1</v>
      </c>
      <c r="J20" s="97">
        <v>2</v>
      </c>
      <c r="K20" s="97">
        <v>3</v>
      </c>
      <c r="L20" s="97">
        <v>4</v>
      </c>
    </row>
    <row r="21" spans="1:13" ht="24.75" customHeight="1">
      <c r="A21" s="185" t="str">
        <f>"("&amp;初期設定!B35&amp;")"&amp;初期設定!C35</f>
        <v>(13)お風呂の残り湯を、洗濯や庭の水やりに利用する</v>
      </c>
      <c r="B21" s="185"/>
      <c r="C21" s="185"/>
      <c r="D21" s="185"/>
      <c r="E21" s="185"/>
      <c r="F21" s="185"/>
      <c r="G21" s="185"/>
      <c r="H21" s="185"/>
      <c r="I21" s="97">
        <v>1</v>
      </c>
      <c r="J21" s="97">
        <v>2</v>
      </c>
      <c r="K21" s="97">
        <v>3</v>
      </c>
      <c r="L21" s="97">
        <v>4</v>
      </c>
    </row>
    <row r="22" spans="1:13" ht="24.75" customHeight="1">
      <c r="A22" s="185" t="str">
        <f>"("&amp;初期設定!B36&amp;")"&amp;初期設定!C36</f>
        <v>(14)掃除機をかける前に、まず部屋を片づける</v>
      </c>
      <c r="B22" s="185"/>
      <c r="C22" s="185"/>
      <c r="D22" s="185"/>
      <c r="E22" s="185"/>
      <c r="F22" s="185"/>
      <c r="G22" s="185"/>
      <c r="H22" s="185"/>
      <c r="I22" s="97">
        <v>1</v>
      </c>
      <c r="J22" s="97">
        <v>2</v>
      </c>
      <c r="K22" s="97">
        <v>3</v>
      </c>
      <c r="L22" s="97">
        <v>4</v>
      </c>
    </row>
    <row r="23" spans="1:13" ht="24.75" customHeight="1">
      <c r="A23" s="185" t="str">
        <f>"("&amp;初期設定!B37&amp;")"&amp;初期設定!C37</f>
        <v>(15)洗濯は量をまとめて行い、洗濯回数を減らすようにする</v>
      </c>
      <c r="B23" s="185"/>
      <c r="C23" s="185"/>
      <c r="D23" s="185"/>
      <c r="E23" s="185"/>
      <c r="F23" s="185"/>
      <c r="G23" s="185"/>
      <c r="H23" s="185"/>
      <c r="I23" s="97">
        <v>1</v>
      </c>
      <c r="J23" s="97">
        <v>2</v>
      </c>
      <c r="K23" s="97">
        <v>3</v>
      </c>
      <c r="L23" s="97">
        <v>4</v>
      </c>
    </row>
    <row r="24" spans="1:13" ht="24.75" customHeight="1">
      <c r="A24" s="185" t="str">
        <f>"("&amp;初期設定!B38&amp;")"&amp;初期設定!C38</f>
        <v>(16)洗剤を適量確認して使用する</v>
      </c>
      <c r="B24" s="185"/>
      <c r="C24" s="185"/>
      <c r="D24" s="185"/>
      <c r="E24" s="185"/>
      <c r="F24" s="185"/>
      <c r="G24" s="185"/>
      <c r="H24" s="185"/>
      <c r="I24" s="97">
        <v>1</v>
      </c>
      <c r="J24" s="97">
        <v>2</v>
      </c>
      <c r="K24" s="97">
        <v>3</v>
      </c>
      <c r="L24" s="97">
        <v>4</v>
      </c>
    </row>
    <row r="25" spans="1:13" ht="24.75" customHeight="1">
      <c r="A25" s="185" t="str">
        <f>"("&amp;初期設定!B39&amp;")"&amp;初期設定!C39</f>
        <v>(17)買い物のときは買い物袋を持参する</v>
      </c>
      <c r="B25" s="185"/>
      <c r="C25" s="185"/>
      <c r="D25" s="185"/>
      <c r="E25" s="185"/>
      <c r="F25" s="185"/>
      <c r="G25" s="185"/>
      <c r="H25" s="185"/>
      <c r="I25" s="97">
        <v>1</v>
      </c>
      <c r="J25" s="97">
        <v>2</v>
      </c>
      <c r="K25" s="97">
        <v>3</v>
      </c>
      <c r="L25" s="97">
        <v>4</v>
      </c>
    </row>
    <row r="26" spans="1:13" ht="24.75" customHeight="1">
      <c r="A26" s="185" t="str">
        <f>"("&amp;初期設定!B40&amp;")"&amp;初期設定!C40</f>
        <v>(18)エコマーク商品など環境にいい商品を意識的に選んで購入する</v>
      </c>
      <c r="B26" s="185"/>
      <c r="C26" s="185"/>
      <c r="D26" s="185"/>
      <c r="E26" s="185"/>
      <c r="F26" s="185"/>
      <c r="G26" s="185"/>
      <c r="H26" s="185"/>
      <c r="I26" s="97">
        <v>1</v>
      </c>
      <c r="J26" s="97">
        <v>2</v>
      </c>
      <c r="K26" s="97">
        <v>3</v>
      </c>
      <c r="L26" s="97">
        <v>4</v>
      </c>
    </row>
    <row r="27" spans="1:13" ht="24.75" customHeight="1">
      <c r="A27" s="185" t="str">
        <f>"("&amp;初期設定!B41&amp;")"&amp;初期設定!C41</f>
        <v>(19)リサイクルや、各自治体の分別収集のルールを守る</v>
      </c>
      <c r="B27" s="185"/>
      <c r="C27" s="185"/>
      <c r="D27" s="185"/>
      <c r="E27" s="185"/>
      <c r="F27" s="185"/>
      <c r="G27" s="185"/>
      <c r="H27" s="185"/>
      <c r="I27" s="97">
        <v>1</v>
      </c>
      <c r="J27" s="97">
        <v>2</v>
      </c>
      <c r="K27" s="97">
        <v>3</v>
      </c>
      <c r="L27" s="97">
        <v>4</v>
      </c>
    </row>
    <row r="28" spans="1:13" ht="24.75" customHeight="1">
      <c r="A28" s="185" t="str">
        <f>"("&amp;初期設定!B42&amp;")"&amp;初期設定!C42</f>
        <v>(20)近い所へは徒歩や自転車を使い、自動車の使用はひかえる</v>
      </c>
      <c r="B28" s="185"/>
      <c r="C28" s="185"/>
      <c r="D28" s="185"/>
      <c r="E28" s="185"/>
      <c r="F28" s="185"/>
      <c r="G28" s="185"/>
      <c r="H28" s="185"/>
      <c r="I28" s="97">
        <v>1</v>
      </c>
      <c r="J28" s="97">
        <v>2</v>
      </c>
      <c r="K28" s="97">
        <v>3</v>
      </c>
      <c r="L28" s="97">
        <v>4</v>
      </c>
    </row>
    <row r="30" spans="1:13">
      <c r="A30" s="26" t="s">
        <v>116</v>
      </c>
    </row>
    <row r="31" spans="1:13" ht="3.75" customHeight="1"/>
    <row r="32" spans="1:13">
      <c r="B32" s="90" t="s">
        <v>110</v>
      </c>
      <c r="C32" s="91"/>
      <c r="D32" s="123" t="s">
        <v>129</v>
      </c>
      <c r="E32" s="124"/>
      <c r="F32" s="124"/>
      <c r="G32" s="125"/>
      <c r="H32" s="91" t="s">
        <v>111</v>
      </c>
      <c r="I32" s="91"/>
      <c r="J32" s="90" t="s">
        <v>60</v>
      </c>
      <c r="K32" s="92"/>
      <c r="L32" s="90" t="s">
        <v>283</v>
      </c>
      <c r="M32" s="92"/>
    </row>
    <row r="33" spans="1:13">
      <c r="B33" s="120"/>
      <c r="C33" s="121"/>
      <c r="D33" s="120" t="s">
        <v>130</v>
      </c>
      <c r="E33" s="121"/>
      <c r="F33" s="120" t="s">
        <v>131</v>
      </c>
      <c r="G33" s="121"/>
      <c r="H33" s="120"/>
      <c r="I33" s="121"/>
      <c r="J33" s="120"/>
      <c r="K33" s="122"/>
      <c r="L33" s="120"/>
      <c r="M33" s="122"/>
    </row>
    <row r="34" spans="1:13" ht="26.25" customHeight="1">
      <c r="B34" s="93"/>
      <c r="C34" s="94" t="s">
        <v>88</v>
      </c>
      <c r="D34" s="93"/>
      <c r="E34" s="94" t="s">
        <v>88</v>
      </c>
      <c r="F34" s="93"/>
      <c r="G34" s="94" t="s">
        <v>88</v>
      </c>
      <c r="H34" s="93"/>
      <c r="I34" s="94" t="s">
        <v>88</v>
      </c>
      <c r="J34" s="93"/>
      <c r="K34" s="95" t="s">
        <v>88</v>
      </c>
      <c r="L34" s="193" t="s">
        <v>286</v>
      </c>
      <c r="M34" s="194"/>
    </row>
    <row r="35" spans="1:13" ht="6" customHeight="1"/>
    <row r="36" spans="1:13">
      <c r="A36" s="26" t="s">
        <v>112</v>
      </c>
      <c r="M36" s="28" t="s">
        <v>297</v>
      </c>
    </row>
    <row r="37" spans="1:13" ht="3" customHeight="1"/>
    <row r="38" spans="1:13" ht="18" customHeight="1">
      <c r="B38" s="90" t="s">
        <v>113</v>
      </c>
      <c r="C38" s="92"/>
      <c r="D38" s="90" t="s">
        <v>114</v>
      </c>
      <c r="E38" s="91"/>
      <c r="F38" s="91"/>
      <c r="G38" s="92"/>
      <c r="J38" s="186" t="s">
        <v>296</v>
      </c>
      <c r="K38" s="187"/>
      <c r="L38" s="188"/>
    </row>
    <row r="39" spans="1:13">
      <c r="B39" s="93"/>
      <c r="C39" s="95" t="s">
        <v>115</v>
      </c>
      <c r="D39" s="93"/>
      <c r="E39" s="101"/>
      <c r="F39" s="101"/>
      <c r="G39" s="102"/>
      <c r="J39" s="189"/>
      <c r="K39" s="190"/>
      <c r="L39" s="191"/>
    </row>
    <row r="40" spans="1:13" ht="6" customHeight="1"/>
    <row r="41" spans="1:13">
      <c r="M41" s="28" t="s">
        <v>89</v>
      </c>
    </row>
    <row r="42" spans="1:13" ht="4.5" customHeight="1"/>
    <row r="43" spans="1:13">
      <c r="M43" s="100" t="s">
        <v>361</v>
      </c>
    </row>
  </sheetData>
  <mergeCells count="23">
    <mergeCell ref="J38:L39"/>
    <mergeCell ref="I8:L8"/>
    <mergeCell ref="L34:M34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H28"/>
    <mergeCell ref="A22:H22"/>
    <mergeCell ref="A23:H23"/>
    <mergeCell ref="A24:H24"/>
    <mergeCell ref="A25:H25"/>
  </mergeCells>
  <phoneticPr fontId="3"/>
  <dataValidations count="1">
    <dataValidation type="decimal" allowBlank="1" showInputMessage="1" showErrorMessage="1" sqref="B41:L43 M41 M42:M43">
      <formula1>10.221</formula1>
      <formula2>10.223</formula2>
    </dataValidation>
  </dataValidations>
  <pageMargins left="0.67" right="0.75" top="0.77" bottom="0.63" header="0.51200000000000001" footer="0.51200000000000001"/>
  <pageSetup paperSize="9" scale="9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500"/>
  <sheetViews>
    <sheetView workbookViewId="0">
      <selection activeCell="C18" sqref="C18"/>
    </sheetView>
  </sheetViews>
  <sheetFormatPr defaultColWidth="0" defaultRowHeight="13.5"/>
  <cols>
    <col min="1" max="1" width="2.5" style="1" customWidth="1"/>
    <col min="2" max="2" width="10.75" style="1" customWidth="1"/>
    <col min="3" max="3" width="8.125" style="1" customWidth="1"/>
    <col min="4" max="5" width="7.25" style="1" customWidth="1"/>
    <col min="6" max="7" width="8.125" style="1" customWidth="1"/>
    <col min="8" max="9" width="9" style="1" customWidth="1"/>
    <col min="10" max="31" width="6" style="1" customWidth="1"/>
    <col min="32" max="32" width="13.5" style="1" customWidth="1"/>
    <col min="33" max="33" width="10" style="1" customWidth="1"/>
    <col min="34" max="16384" width="0" style="1" hidden="1"/>
  </cols>
  <sheetData>
    <row r="1" spans="1:34" s="51" customFormat="1" ht="23.25" customHeight="1" thickBot="1">
      <c r="A1" s="46"/>
      <c r="B1" s="47" t="s">
        <v>25</v>
      </c>
      <c r="C1" s="48"/>
      <c r="D1" s="48"/>
      <c r="E1" s="48"/>
      <c r="F1" s="48"/>
      <c r="G1" s="48"/>
      <c r="H1" s="48" t="s">
        <v>326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9"/>
      <c r="AG1" s="50"/>
    </row>
    <row r="2" spans="1:34" s="51" customFormat="1" ht="8.25" customHeight="1"/>
    <row r="3" spans="1:34" s="51" customFormat="1" ht="17.25" customHeight="1">
      <c r="A3" s="52" t="s">
        <v>24</v>
      </c>
      <c r="B3" s="52"/>
    </row>
    <row r="4" spans="1:34" s="51" customFormat="1">
      <c r="B4" s="53" t="s">
        <v>11</v>
      </c>
      <c r="C4" s="54">
        <f t="shared" ref="C4:AC4" si="0">IF(COUNT(C18:C990)=0,"",AVERAGE(C18:C990))</f>
        <v>10000</v>
      </c>
      <c r="D4" s="54" t="str">
        <f t="shared" si="0"/>
        <v/>
      </c>
      <c r="E4" s="54">
        <f>IF(COUNT(E18:E990)=0,"",AVERAGE(E18:E990))</f>
        <v>6000</v>
      </c>
      <c r="F4" s="54" t="str">
        <f t="shared" si="0"/>
        <v/>
      </c>
      <c r="G4" s="54">
        <f t="shared" si="0"/>
        <v>4000</v>
      </c>
      <c r="H4" s="55">
        <f t="shared" si="0"/>
        <v>4</v>
      </c>
      <c r="I4" s="56"/>
      <c r="J4" s="56">
        <f t="shared" si="0"/>
        <v>4</v>
      </c>
      <c r="K4" s="56">
        <f t="shared" si="0"/>
        <v>1</v>
      </c>
      <c r="L4" s="56">
        <f t="shared" si="0"/>
        <v>2</v>
      </c>
      <c r="M4" s="56">
        <f t="shared" si="0"/>
        <v>1</v>
      </c>
      <c r="N4" s="56">
        <f t="shared" si="0"/>
        <v>2</v>
      </c>
      <c r="O4" s="56">
        <f t="shared" si="0"/>
        <v>2</v>
      </c>
      <c r="P4" s="56">
        <f t="shared" si="0"/>
        <v>1</v>
      </c>
      <c r="Q4" s="56">
        <f t="shared" si="0"/>
        <v>1</v>
      </c>
      <c r="R4" s="56">
        <f t="shared" si="0"/>
        <v>1</v>
      </c>
      <c r="S4" s="56">
        <f t="shared" si="0"/>
        <v>1</v>
      </c>
      <c r="T4" s="56">
        <f t="shared" si="0"/>
        <v>2</v>
      </c>
      <c r="U4" s="56">
        <f t="shared" si="0"/>
        <v>1</v>
      </c>
      <c r="V4" s="56">
        <f t="shared" si="0"/>
        <v>1</v>
      </c>
      <c r="W4" s="56">
        <f t="shared" si="0"/>
        <v>1</v>
      </c>
      <c r="X4" s="56">
        <f t="shared" si="0"/>
        <v>1</v>
      </c>
      <c r="Y4" s="56">
        <f t="shared" si="0"/>
        <v>1</v>
      </c>
      <c r="Z4" s="56">
        <f t="shared" si="0"/>
        <v>1</v>
      </c>
      <c r="AA4" s="56">
        <f t="shared" si="0"/>
        <v>2</v>
      </c>
      <c r="AB4" s="56">
        <f t="shared" si="0"/>
        <v>1</v>
      </c>
      <c r="AC4" s="56">
        <f t="shared" si="0"/>
        <v>2</v>
      </c>
      <c r="AD4" s="56" t="str">
        <f>IF(COUNT(AD18:AD990)=0,"",AVERAGE(AD18:AD990))</f>
        <v/>
      </c>
      <c r="AE4" s="57">
        <f>IF(COUNT(AE18:AE990)=0,"",AVERAGE(AE18:AE990))</f>
        <v>2</v>
      </c>
    </row>
    <row r="5" spans="1:34" s="51" customFormat="1">
      <c r="B5" s="58" t="s">
        <v>12</v>
      </c>
      <c r="C5" s="59">
        <f t="shared" ref="C5:AC5" si="1">IF(COUNT(C18:C990)=0,"",MAX(C18:C990))</f>
        <v>10000</v>
      </c>
      <c r="D5" s="59" t="str">
        <f t="shared" si="1"/>
        <v/>
      </c>
      <c r="E5" s="59">
        <f>IF(COUNT(E18:E990)=0,"",MAX(E18:E990))</f>
        <v>6000</v>
      </c>
      <c r="F5" s="59" t="str">
        <f t="shared" si="1"/>
        <v/>
      </c>
      <c r="G5" s="59">
        <f t="shared" si="1"/>
        <v>4000</v>
      </c>
      <c r="H5" s="60">
        <f t="shared" si="1"/>
        <v>4</v>
      </c>
      <c r="I5" s="61"/>
      <c r="J5" s="61">
        <f t="shared" si="1"/>
        <v>4</v>
      </c>
      <c r="K5" s="61">
        <f t="shared" si="1"/>
        <v>1</v>
      </c>
      <c r="L5" s="61">
        <f t="shared" si="1"/>
        <v>2</v>
      </c>
      <c r="M5" s="61">
        <f t="shared" si="1"/>
        <v>1</v>
      </c>
      <c r="N5" s="61">
        <f t="shared" si="1"/>
        <v>2</v>
      </c>
      <c r="O5" s="61">
        <f t="shared" si="1"/>
        <v>2</v>
      </c>
      <c r="P5" s="61">
        <f t="shared" si="1"/>
        <v>1</v>
      </c>
      <c r="Q5" s="61">
        <f t="shared" si="1"/>
        <v>1</v>
      </c>
      <c r="R5" s="61">
        <f t="shared" si="1"/>
        <v>1</v>
      </c>
      <c r="S5" s="61">
        <f t="shared" si="1"/>
        <v>1</v>
      </c>
      <c r="T5" s="61">
        <f t="shared" si="1"/>
        <v>2</v>
      </c>
      <c r="U5" s="61">
        <f t="shared" si="1"/>
        <v>1</v>
      </c>
      <c r="V5" s="61">
        <f t="shared" si="1"/>
        <v>1</v>
      </c>
      <c r="W5" s="61">
        <f t="shared" si="1"/>
        <v>1</v>
      </c>
      <c r="X5" s="61">
        <f t="shared" si="1"/>
        <v>1</v>
      </c>
      <c r="Y5" s="61">
        <f t="shared" si="1"/>
        <v>1</v>
      </c>
      <c r="Z5" s="61">
        <f t="shared" si="1"/>
        <v>1</v>
      </c>
      <c r="AA5" s="61">
        <f t="shared" si="1"/>
        <v>2</v>
      </c>
      <c r="AB5" s="61">
        <f t="shared" si="1"/>
        <v>1</v>
      </c>
      <c r="AC5" s="61">
        <f t="shared" si="1"/>
        <v>2</v>
      </c>
      <c r="AD5" s="61" t="str">
        <f>IF(COUNT(AD18:AD990)=0,"",MAX(AD18:AD990))</f>
        <v/>
      </c>
      <c r="AE5" s="62">
        <f>IF(COUNT(AE18:AE990)=0,"",MAX(AE18:AE990))</f>
        <v>2</v>
      </c>
    </row>
    <row r="6" spans="1:34" s="51" customFormat="1">
      <c r="B6" s="63" t="s">
        <v>13</v>
      </c>
      <c r="C6" s="64">
        <f t="shared" ref="C6:AC6" si="2">IF(COUNT(C18:C990)=0,"",MIN(C18:C990))</f>
        <v>10000</v>
      </c>
      <c r="D6" s="64" t="str">
        <f t="shared" si="2"/>
        <v/>
      </c>
      <c r="E6" s="64">
        <f>IF(COUNT(E18:E990)=0,"",MIN(E18:E990))</f>
        <v>6000</v>
      </c>
      <c r="F6" s="64" t="str">
        <f t="shared" si="2"/>
        <v/>
      </c>
      <c r="G6" s="64">
        <f t="shared" si="2"/>
        <v>4000</v>
      </c>
      <c r="H6" s="65">
        <f t="shared" si="2"/>
        <v>4</v>
      </c>
      <c r="I6" s="66"/>
      <c r="J6" s="66">
        <f t="shared" si="2"/>
        <v>4</v>
      </c>
      <c r="K6" s="66">
        <f t="shared" si="2"/>
        <v>1</v>
      </c>
      <c r="L6" s="66">
        <f t="shared" si="2"/>
        <v>2</v>
      </c>
      <c r="M6" s="66">
        <f t="shared" si="2"/>
        <v>1</v>
      </c>
      <c r="N6" s="66">
        <f t="shared" si="2"/>
        <v>2</v>
      </c>
      <c r="O6" s="66">
        <f t="shared" si="2"/>
        <v>2</v>
      </c>
      <c r="P6" s="66">
        <f t="shared" si="2"/>
        <v>1</v>
      </c>
      <c r="Q6" s="66">
        <f t="shared" si="2"/>
        <v>1</v>
      </c>
      <c r="R6" s="66">
        <f t="shared" si="2"/>
        <v>1</v>
      </c>
      <c r="S6" s="66">
        <f t="shared" si="2"/>
        <v>1</v>
      </c>
      <c r="T6" s="66">
        <f t="shared" si="2"/>
        <v>2</v>
      </c>
      <c r="U6" s="66">
        <f t="shared" si="2"/>
        <v>1</v>
      </c>
      <c r="V6" s="66">
        <f t="shared" si="2"/>
        <v>1</v>
      </c>
      <c r="W6" s="66">
        <f t="shared" si="2"/>
        <v>1</v>
      </c>
      <c r="X6" s="66">
        <f t="shared" si="2"/>
        <v>1</v>
      </c>
      <c r="Y6" s="66">
        <f t="shared" si="2"/>
        <v>1</v>
      </c>
      <c r="Z6" s="66">
        <f t="shared" si="2"/>
        <v>1</v>
      </c>
      <c r="AA6" s="66">
        <f t="shared" si="2"/>
        <v>2</v>
      </c>
      <c r="AB6" s="66">
        <f t="shared" si="2"/>
        <v>1</v>
      </c>
      <c r="AC6" s="66">
        <f t="shared" si="2"/>
        <v>2</v>
      </c>
      <c r="AD6" s="66" t="str">
        <f>IF(COUNT(AD18:AD990)=0,"",MIN(AD18:AD990))</f>
        <v/>
      </c>
      <c r="AE6" s="67">
        <f>IF(COUNT(AE18:AE990)=0,"",MIN(AE18:AE990))</f>
        <v>2</v>
      </c>
    </row>
    <row r="7" spans="1:34" s="51" customFormat="1">
      <c r="F7" s="68" t="s">
        <v>14</v>
      </c>
      <c r="G7" s="69">
        <v>1</v>
      </c>
      <c r="H7" s="55">
        <f t="shared" ref="H7:R12" si="3">COUNTIF(H$18:H$990,$G7)</f>
        <v>0</v>
      </c>
      <c r="I7" s="56"/>
      <c r="J7" s="56">
        <f t="shared" si="3"/>
        <v>0</v>
      </c>
      <c r="K7" s="56">
        <f t="shared" si="3"/>
        <v>1</v>
      </c>
      <c r="L7" s="56">
        <f t="shared" si="3"/>
        <v>0</v>
      </c>
      <c r="M7" s="56">
        <f t="shared" si="3"/>
        <v>1</v>
      </c>
      <c r="N7" s="56">
        <f t="shared" si="3"/>
        <v>0</v>
      </c>
      <c r="O7" s="56">
        <f t="shared" si="3"/>
        <v>0</v>
      </c>
      <c r="P7" s="56">
        <f t="shared" si="3"/>
        <v>1</v>
      </c>
      <c r="Q7" s="56">
        <f t="shared" si="3"/>
        <v>1</v>
      </c>
      <c r="R7" s="56">
        <f t="shared" si="3"/>
        <v>1</v>
      </c>
      <c r="S7" s="56">
        <f t="shared" ref="S7:AE12" si="4">COUNTIF(S$18:S$990,$G7)</f>
        <v>1</v>
      </c>
      <c r="T7" s="56">
        <f t="shared" si="4"/>
        <v>0</v>
      </c>
      <c r="U7" s="56">
        <f t="shared" si="4"/>
        <v>1</v>
      </c>
      <c r="V7" s="56">
        <f t="shared" si="4"/>
        <v>1</v>
      </c>
      <c r="W7" s="56">
        <f t="shared" si="4"/>
        <v>1</v>
      </c>
      <c r="X7" s="56">
        <f t="shared" si="4"/>
        <v>1</v>
      </c>
      <c r="Y7" s="56">
        <f t="shared" si="4"/>
        <v>1</v>
      </c>
      <c r="Z7" s="56">
        <f t="shared" si="4"/>
        <v>1</v>
      </c>
      <c r="AA7" s="56">
        <f t="shared" si="4"/>
        <v>0</v>
      </c>
      <c r="AB7" s="56">
        <f t="shared" si="4"/>
        <v>1</v>
      </c>
      <c r="AC7" s="56">
        <f t="shared" si="4"/>
        <v>0</v>
      </c>
      <c r="AD7" s="56">
        <f t="shared" si="4"/>
        <v>0</v>
      </c>
      <c r="AE7" s="57">
        <f t="shared" si="4"/>
        <v>0</v>
      </c>
    </row>
    <row r="8" spans="1:34" s="51" customFormat="1">
      <c r="F8" s="70"/>
      <c r="G8" s="71">
        <v>2</v>
      </c>
      <c r="H8" s="60">
        <f t="shared" si="3"/>
        <v>0</v>
      </c>
      <c r="I8" s="61"/>
      <c r="J8" s="61">
        <f t="shared" si="3"/>
        <v>0</v>
      </c>
      <c r="K8" s="61">
        <f t="shared" si="3"/>
        <v>0</v>
      </c>
      <c r="L8" s="61">
        <f t="shared" si="3"/>
        <v>1</v>
      </c>
      <c r="M8" s="61">
        <f t="shared" si="3"/>
        <v>0</v>
      </c>
      <c r="N8" s="61">
        <f t="shared" si="3"/>
        <v>1</v>
      </c>
      <c r="O8" s="61">
        <f t="shared" si="3"/>
        <v>1</v>
      </c>
      <c r="P8" s="61">
        <f t="shared" si="3"/>
        <v>0</v>
      </c>
      <c r="Q8" s="61">
        <f t="shared" si="3"/>
        <v>0</v>
      </c>
      <c r="R8" s="61">
        <f t="shared" si="3"/>
        <v>0</v>
      </c>
      <c r="S8" s="61">
        <f t="shared" si="4"/>
        <v>0</v>
      </c>
      <c r="T8" s="61">
        <f t="shared" si="4"/>
        <v>1</v>
      </c>
      <c r="U8" s="61">
        <f t="shared" si="4"/>
        <v>0</v>
      </c>
      <c r="V8" s="61">
        <f t="shared" si="4"/>
        <v>0</v>
      </c>
      <c r="W8" s="61">
        <f t="shared" si="4"/>
        <v>0</v>
      </c>
      <c r="X8" s="61">
        <f t="shared" si="4"/>
        <v>0</v>
      </c>
      <c r="Y8" s="61">
        <f t="shared" si="4"/>
        <v>0</v>
      </c>
      <c r="Z8" s="61">
        <f t="shared" si="4"/>
        <v>0</v>
      </c>
      <c r="AA8" s="61">
        <f t="shared" si="4"/>
        <v>1</v>
      </c>
      <c r="AB8" s="61">
        <f t="shared" si="4"/>
        <v>0</v>
      </c>
      <c r="AC8" s="61">
        <f t="shared" si="4"/>
        <v>1</v>
      </c>
      <c r="AD8" s="61">
        <f t="shared" si="4"/>
        <v>0</v>
      </c>
      <c r="AE8" s="62">
        <f t="shared" si="4"/>
        <v>1</v>
      </c>
    </row>
    <row r="9" spans="1:34" s="51" customFormat="1" ht="17.25" customHeight="1">
      <c r="A9" s="52" t="s">
        <v>51</v>
      </c>
      <c r="B9" s="52"/>
      <c r="C9" s="52"/>
      <c r="F9" s="70"/>
      <c r="G9" s="71">
        <v>3</v>
      </c>
      <c r="H9" s="60">
        <f t="shared" si="3"/>
        <v>0</v>
      </c>
      <c r="I9" s="61"/>
      <c r="J9" s="61">
        <f t="shared" si="3"/>
        <v>0</v>
      </c>
      <c r="K9" s="61">
        <f t="shared" si="3"/>
        <v>0</v>
      </c>
      <c r="L9" s="61">
        <f t="shared" si="3"/>
        <v>0</v>
      </c>
      <c r="M9" s="61">
        <f t="shared" si="3"/>
        <v>0</v>
      </c>
      <c r="N9" s="61">
        <f t="shared" si="3"/>
        <v>0</v>
      </c>
      <c r="O9" s="61">
        <f t="shared" si="3"/>
        <v>0</v>
      </c>
      <c r="P9" s="61">
        <f t="shared" si="3"/>
        <v>0</v>
      </c>
      <c r="Q9" s="61">
        <f t="shared" si="3"/>
        <v>0</v>
      </c>
      <c r="R9" s="61">
        <f t="shared" si="3"/>
        <v>0</v>
      </c>
      <c r="S9" s="61">
        <f t="shared" si="4"/>
        <v>0</v>
      </c>
      <c r="T9" s="61">
        <f t="shared" si="4"/>
        <v>0</v>
      </c>
      <c r="U9" s="61">
        <f t="shared" si="4"/>
        <v>0</v>
      </c>
      <c r="V9" s="61">
        <f t="shared" si="4"/>
        <v>0</v>
      </c>
      <c r="W9" s="61">
        <f t="shared" si="4"/>
        <v>0</v>
      </c>
      <c r="X9" s="61">
        <f t="shared" si="4"/>
        <v>0</v>
      </c>
      <c r="Y9" s="61">
        <f t="shared" si="4"/>
        <v>0</v>
      </c>
      <c r="Z9" s="61">
        <f t="shared" si="4"/>
        <v>0</v>
      </c>
      <c r="AA9" s="61">
        <f t="shared" si="4"/>
        <v>0</v>
      </c>
      <c r="AB9" s="61">
        <f t="shared" si="4"/>
        <v>0</v>
      </c>
      <c r="AC9" s="61">
        <f t="shared" si="4"/>
        <v>0</v>
      </c>
      <c r="AD9" s="61">
        <f t="shared" si="4"/>
        <v>0</v>
      </c>
      <c r="AE9" s="62">
        <f t="shared" si="4"/>
        <v>0</v>
      </c>
    </row>
    <row r="10" spans="1:34" s="51" customFormat="1">
      <c r="B10" s="72" t="s">
        <v>20</v>
      </c>
      <c r="C10" s="39">
        <v>1</v>
      </c>
      <c r="F10" s="70"/>
      <c r="G10" s="71">
        <v>4</v>
      </c>
      <c r="H10" s="60">
        <f t="shared" si="3"/>
        <v>1</v>
      </c>
      <c r="I10" s="61"/>
      <c r="J10" s="61">
        <f t="shared" si="3"/>
        <v>1</v>
      </c>
      <c r="K10" s="61">
        <f t="shared" si="3"/>
        <v>0</v>
      </c>
      <c r="L10" s="61">
        <f t="shared" si="3"/>
        <v>0</v>
      </c>
      <c r="M10" s="61">
        <f t="shared" si="3"/>
        <v>0</v>
      </c>
      <c r="N10" s="61">
        <f t="shared" si="3"/>
        <v>0</v>
      </c>
      <c r="O10" s="61">
        <f t="shared" si="3"/>
        <v>0</v>
      </c>
      <c r="P10" s="61">
        <f t="shared" si="3"/>
        <v>0</v>
      </c>
      <c r="Q10" s="61">
        <f t="shared" si="3"/>
        <v>0</v>
      </c>
      <c r="R10" s="61">
        <f t="shared" si="3"/>
        <v>0</v>
      </c>
      <c r="S10" s="61">
        <f t="shared" si="4"/>
        <v>0</v>
      </c>
      <c r="T10" s="61">
        <f t="shared" si="4"/>
        <v>0</v>
      </c>
      <c r="U10" s="61">
        <f t="shared" si="4"/>
        <v>0</v>
      </c>
      <c r="V10" s="61">
        <f t="shared" si="4"/>
        <v>0</v>
      </c>
      <c r="W10" s="61">
        <f t="shared" si="4"/>
        <v>0</v>
      </c>
      <c r="X10" s="61">
        <f t="shared" si="4"/>
        <v>0</v>
      </c>
      <c r="Y10" s="61">
        <f t="shared" si="4"/>
        <v>0</v>
      </c>
      <c r="Z10" s="61">
        <f t="shared" si="4"/>
        <v>0</v>
      </c>
      <c r="AA10" s="61">
        <f t="shared" si="4"/>
        <v>0</v>
      </c>
      <c r="AB10" s="61">
        <f t="shared" si="4"/>
        <v>0</v>
      </c>
      <c r="AC10" s="61">
        <f t="shared" si="4"/>
        <v>0</v>
      </c>
      <c r="AD10" s="61">
        <f t="shared" si="4"/>
        <v>0</v>
      </c>
      <c r="AE10" s="62">
        <f t="shared" si="4"/>
        <v>0</v>
      </c>
    </row>
    <row r="11" spans="1:34" s="51" customFormat="1">
      <c r="B11" s="72" t="s">
        <v>22</v>
      </c>
      <c r="C11" s="87" t="s">
        <v>109</v>
      </c>
      <c r="F11" s="73"/>
      <c r="G11" s="71">
        <v>5</v>
      </c>
      <c r="H11" s="60">
        <f t="shared" si="3"/>
        <v>0</v>
      </c>
      <c r="I11" s="61"/>
      <c r="J11" s="61">
        <f t="shared" si="3"/>
        <v>0</v>
      </c>
      <c r="K11" s="61">
        <f t="shared" si="3"/>
        <v>0</v>
      </c>
      <c r="L11" s="61">
        <f t="shared" si="3"/>
        <v>0</v>
      </c>
      <c r="M11" s="61">
        <f t="shared" si="3"/>
        <v>0</v>
      </c>
      <c r="N11" s="61">
        <f t="shared" si="3"/>
        <v>0</v>
      </c>
      <c r="O11" s="61">
        <f t="shared" si="3"/>
        <v>0</v>
      </c>
      <c r="P11" s="61">
        <f t="shared" si="3"/>
        <v>0</v>
      </c>
      <c r="Q11" s="61">
        <f t="shared" si="3"/>
        <v>0</v>
      </c>
      <c r="R11" s="61">
        <f t="shared" si="3"/>
        <v>0</v>
      </c>
      <c r="S11" s="61">
        <f t="shared" si="4"/>
        <v>0</v>
      </c>
      <c r="T11" s="61">
        <f t="shared" si="4"/>
        <v>0</v>
      </c>
      <c r="U11" s="61">
        <f t="shared" si="4"/>
        <v>0</v>
      </c>
      <c r="V11" s="61">
        <f t="shared" si="4"/>
        <v>0</v>
      </c>
      <c r="W11" s="61">
        <f t="shared" si="4"/>
        <v>0</v>
      </c>
      <c r="X11" s="61">
        <f t="shared" si="4"/>
        <v>0</v>
      </c>
      <c r="Y11" s="61">
        <f t="shared" si="4"/>
        <v>0</v>
      </c>
      <c r="Z11" s="61">
        <f t="shared" si="4"/>
        <v>0</v>
      </c>
      <c r="AA11" s="61">
        <f t="shared" si="4"/>
        <v>0</v>
      </c>
      <c r="AB11" s="61">
        <f t="shared" si="4"/>
        <v>0</v>
      </c>
      <c r="AC11" s="61">
        <f t="shared" si="4"/>
        <v>0</v>
      </c>
      <c r="AD11" s="61">
        <f t="shared" si="4"/>
        <v>0</v>
      </c>
      <c r="AE11" s="62">
        <f t="shared" si="4"/>
        <v>0</v>
      </c>
    </row>
    <row r="12" spans="1:34" s="51" customFormat="1">
      <c r="B12" s="72" t="s">
        <v>21</v>
      </c>
      <c r="C12" s="74">
        <f>IF(C11="指定呼出",C10,MAX(AH18:AH248))</f>
        <v>1</v>
      </c>
      <c r="F12" s="75"/>
      <c r="G12" s="76">
        <v>6</v>
      </c>
      <c r="H12" s="65">
        <f t="shared" si="3"/>
        <v>0</v>
      </c>
      <c r="I12" s="66"/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6">
        <f t="shared" si="3"/>
        <v>0</v>
      </c>
      <c r="Q12" s="66">
        <f t="shared" si="3"/>
        <v>0</v>
      </c>
      <c r="R12" s="66">
        <f t="shared" si="3"/>
        <v>0</v>
      </c>
      <c r="S12" s="66">
        <f t="shared" si="4"/>
        <v>0</v>
      </c>
      <c r="T12" s="66">
        <f t="shared" si="4"/>
        <v>0</v>
      </c>
      <c r="U12" s="66">
        <f t="shared" si="4"/>
        <v>0</v>
      </c>
      <c r="V12" s="66">
        <f t="shared" si="4"/>
        <v>0</v>
      </c>
      <c r="W12" s="66">
        <f t="shared" si="4"/>
        <v>0</v>
      </c>
      <c r="X12" s="66">
        <f t="shared" si="4"/>
        <v>0</v>
      </c>
      <c r="Y12" s="66">
        <f t="shared" si="4"/>
        <v>0</v>
      </c>
      <c r="Z12" s="66">
        <f t="shared" si="4"/>
        <v>0</v>
      </c>
      <c r="AA12" s="66">
        <f t="shared" si="4"/>
        <v>0</v>
      </c>
      <c r="AB12" s="66">
        <f t="shared" si="4"/>
        <v>0</v>
      </c>
      <c r="AC12" s="66">
        <f t="shared" si="4"/>
        <v>0</v>
      </c>
      <c r="AD12" s="66">
        <f t="shared" si="4"/>
        <v>0</v>
      </c>
      <c r="AE12" s="67">
        <f t="shared" si="4"/>
        <v>0</v>
      </c>
    </row>
    <row r="13" spans="1:34" s="51" customFormat="1"/>
    <row r="14" spans="1:34" s="51" customFormat="1" ht="16.5" customHeight="1">
      <c r="A14" s="52" t="s">
        <v>23</v>
      </c>
      <c r="B14" s="52"/>
    </row>
    <row r="15" spans="1:34" s="77" customFormat="1" ht="27.75" customHeight="1">
      <c r="B15" s="78" t="s">
        <v>52</v>
      </c>
      <c r="C15" s="79" t="s">
        <v>18</v>
      </c>
      <c r="D15" s="80"/>
      <c r="E15" s="80"/>
      <c r="F15" s="80"/>
      <c r="G15" s="81"/>
      <c r="H15" s="82" t="s">
        <v>43</v>
      </c>
      <c r="I15" s="144" t="s">
        <v>230</v>
      </c>
      <c r="J15" s="79" t="str">
        <f>IF(初期設定!C19=初期設定!D19,"1から5の数字を入力します。","1から4の数字を入力します。")&amp;初期設定!C16&amp;"=1、"&amp;初期設定!C17&amp;"=2、"&amp;初期設定!C18&amp;"=3、"&amp;初期設定!C19&amp;"=4"&amp;IF(初期設定!C19=初期設定!D19,"、空白・関係ない=5","")</f>
        <v>1から4の数字を入力します。できている=1、半分くらい=2、できていない=3、持っていない・関係ない=4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81" t="s">
        <v>285</v>
      </c>
      <c r="AE15" s="178" t="s">
        <v>324</v>
      </c>
      <c r="AF15" s="82" t="s">
        <v>16</v>
      </c>
      <c r="AG15" s="51"/>
    </row>
    <row r="16" spans="1:34" s="51" customFormat="1">
      <c r="B16" s="53"/>
      <c r="C16" s="72" t="s">
        <v>17</v>
      </c>
      <c r="D16" s="72"/>
      <c r="E16" s="72"/>
      <c r="F16" s="72"/>
      <c r="G16" s="72"/>
      <c r="H16" s="53"/>
      <c r="I16" s="53"/>
      <c r="J16" s="83">
        <v>1</v>
      </c>
      <c r="K16" s="83">
        <v>2</v>
      </c>
      <c r="L16" s="83">
        <v>3</v>
      </c>
      <c r="M16" s="83">
        <v>4</v>
      </c>
      <c r="N16" s="83">
        <v>5</v>
      </c>
      <c r="O16" s="83">
        <v>6</v>
      </c>
      <c r="P16" s="83">
        <v>7</v>
      </c>
      <c r="Q16" s="83">
        <v>8</v>
      </c>
      <c r="R16" s="83">
        <v>9</v>
      </c>
      <c r="S16" s="83">
        <v>10</v>
      </c>
      <c r="T16" s="83">
        <v>11</v>
      </c>
      <c r="U16" s="83">
        <v>12</v>
      </c>
      <c r="V16" s="83">
        <v>13</v>
      </c>
      <c r="W16" s="83">
        <v>14</v>
      </c>
      <c r="X16" s="83">
        <v>15</v>
      </c>
      <c r="Y16" s="83">
        <v>16</v>
      </c>
      <c r="Z16" s="83">
        <v>17</v>
      </c>
      <c r="AA16" s="83">
        <v>18</v>
      </c>
      <c r="AB16" s="83">
        <v>19</v>
      </c>
      <c r="AC16" s="83">
        <v>20</v>
      </c>
      <c r="AD16" s="174"/>
      <c r="AE16" s="174"/>
      <c r="AF16" s="53"/>
      <c r="AH16" s="84"/>
    </row>
    <row r="17" spans="2:34" s="51" customFormat="1" ht="36" customHeight="1">
      <c r="B17" s="63" t="s">
        <v>10</v>
      </c>
      <c r="C17" s="72" t="s">
        <v>1</v>
      </c>
      <c r="D17" s="126" t="s">
        <v>132</v>
      </c>
      <c r="E17" s="126" t="s">
        <v>133</v>
      </c>
      <c r="F17" s="72" t="s">
        <v>2</v>
      </c>
      <c r="G17" s="72" t="s">
        <v>3</v>
      </c>
      <c r="H17" s="63" t="s">
        <v>0</v>
      </c>
      <c r="I17" s="63" t="s">
        <v>230</v>
      </c>
      <c r="J17" s="85" t="str">
        <f>INDEX(初期設定!$C$23:$C$42,入力!J16)</f>
        <v>冷蔵庫のドアの開閉は回数を減らす</v>
      </c>
      <c r="K17" s="85" t="str">
        <f>INDEX(初期設定!$C$23:$C$42,入力!K16)</f>
        <v>食器洗いで節水を心がける</v>
      </c>
      <c r="L17" s="85" t="str">
        <f>INDEX(初期設定!$C$23:$C$42,入力!L16)</f>
        <v>生ゴミは水分を十分切って出すか、コンポストしている</v>
      </c>
      <c r="M17" s="85" t="str">
        <f>INDEX(初期設定!$C$23:$C$42,入力!M16)</f>
        <v>電子レンジや冷蔵庫保存はラップを使わず、ふた付き容器を使用する</v>
      </c>
      <c r="N17" s="85" t="str">
        <f>INDEX(初期設定!$C$23:$C$42,入力!N16)</f>
        <v>使い切る分だけお湯を沸かす</v>
      </c>
      <c r="O17" s="85" t="str">
        <f>INDEX(初期設定!$C$23:$C$42,入力!O16)</f>
        <v>使っていない部屋の照明はこまめに消す</v>
      </c>
      <c r="P17" s="85" t="str">
        <f>INDEX(初期設定!$C$23:$C$42,入力!P16)</f>
        <v>テレビは点けっぱなしにせず、見たい番組のときだけ点ける</v>
      </c>
      <c r="Q17" s="85" t="str">
        <f>INDEX(初期設定!$C$23:$C$42,入力!Q16)</f>
        <v>冷暖房の設定を控えめにする（冷房は28℃、暖房は20℃が目安）</v>
      </c>
      <c r="R17" s="85" t="str">
        <f>INDEX(初期設定!$C$23:$C$42,入力!R16)</f>
        <v>物は大切に、長く使うように心がける</v>
      </c>
      <c r="S17" s="85" t="str">
        <f>INDEX(初期設定!$C$23:$C$42,入力!S16)</f>
        <v>家族で「省エネ」「リサイクル」「環境問題」などの話をする</v>
      </c>
      <c r="T17" s="85" t="str">
        <f>INDEX(初期設定!$C$23:$C$42,入力!T16)</f>
        <v>シャワーで使用するお湯を少なくするよう気をつける</v>
      </c>
      <c r="U17" s="85" t="str">
        <f>INDEX(初期設定!$C$23:$C$42,入力!U16)</f>
        <v>お風呂はさめないうちに、家族が続けて入る</v>
      </c>
      <c r="V17" s="85" t="str">
        <f>INDEX(初期設定!$C$23:$C$42,入力!V16)</f>
        <v>お風呂の残り湯を、洗濯や庭の水やりに利用する</v>
      </c>
      <c r="W17" s="85" t="str">
        <f>INDEX(初期設定!$C$23:$C$42,入力!W16)</f>
        <v>掃除機をかける前に、まず部屋を片づける</v>
      </c>
      <c r="X17" s="85" t="str">
        <f>INDEX(初期設定!$C$23:$C$42,入力!X16)</f>
        <v>洗濯は量をまとめて行い、洗濯回数を減らすようにする</v>
      </c>
      <c r="Y17" s="85" t="str">
        <f>INDEX(初期設定!$C$23:$C$42,入力!Y16)</f>
        <v>洗剤を適量確認して使用する</v>
      </c>
      <c r="Z17" s="85" t="str">
        <f>INDEX(初期設定!$C$23:$C$42,入力!Z16)</f>
        <v>買い物のときは買い物袋を持参する</v>
      </c>
      <c r="AA17" s="85" t="str">
        <f>INDEX(初期設定!$C$23:$C$42,入力!AA16)</f>
        <v>エコマーク商品など環境にいい商品を意識的に選んで購入する</v>
      </c>
      <c r="AB17" s="85" t="str">
        <f>INDEX(初期設定!$C$23:$C$42,入力!AB16)</f>
        <v>リサイクルや、各自治体の分別収集のルールを守る</v>
      </c>
      <c r="AC17" s="85" t="str">
        <f>INDEX(初期設定!$C$23:$C$42,入力!AC16)</f>
        <v>近い所へは徒歩や自転車を使い、自動車の使用はひかえる</v>
      </c>
      <c r="AD17" s="173" t="s">
        <v>284</v>
      </c>
      <c r="AE17" s="173" t="s">
        <v>325</v>
      </c>
      <c r="AF17" s="63" t="s">
        <v>15</v>
      </c>
      <c r="AH17" s="86" t="s">
        <v>19</v>
      </c>
    </row>
    <row r="18" spans="2:34">
      <c r="B18" s="8">
        <f>ROW()-ROW(B$17)</f>
        <v>1</v>
      </c>
      <c r="C18" s="40">
        <v>10000</v>
      </c>
      <c r="D18" s="40"/>
      <c r="E18" s="40">
        <v>6000</v>
      </c>
      <c r="F18" s="40"/>
      <c r="G18" s="40">
        <v>4000</v>
      </c>
      <c r="H18" s="40">
        <v>4</v>
      </c>
      <c r="I18" s="40" t="s">
        <v>233</v>
      </c>
      <c r="J18" s="42">
        <v>4</v>
      </c>
      <c r="K18" s="42">
        <v>1</v>
      </c>
      <c r="L18" s="42">
        <v>2</v>
      </c>
      <c r="M18" s="42">
        <v>1</v>
      </c>
      <c r="N18" s="42">
        <v>2</v>
      </c>
      <c r="O18" s="42">
        <v>2</v>
      </c>
      <c r="P18" s="42">
        <v>1</v>
      </c>
      <c r="Q18" s="42">
        <v>1</v>
      </c>
      <c r="R18" s="42">
        <v>1</v>
      </c>
      <c r="S18" s="42">
        <v>1</v>
      </c>
      <c r="T18" s="42">
        <v>2</v>
      </c>
      <c r="U18" s="42">
        <v>1</v>
      </c>
      <c r="V18" s="42">
        <v>1</v>
      </c>
      <c r="W18" s="42">
        <v>1</v>
      </c>
      <c r="X18" s="42">
        <v>1</v>
      </c>
      <c r="Y18" s="42">
        <v>1</v>
      </c>
      <c r="Z18" s="42">
        <v>1</v>
      </c>
      <c r="AA18" s="42">
        <v>2</v>
      </c>
      <c r="AB18" s="42">
        <v>1</v>
      </c>
      <c r="AC18" s="42">
        <v>2</v>
      </c>
      <c r="AD18" s="42"/>
      <c r="AE18" s="42">
        <v>2</v>
      </c>
      <c r="AF18" s="41">
        <v>0.2986111111111111</v>
      </c>
      <c r="AG18" s="3"/>
      <c r="AH18" s="1">
        <f>IF(COUNT(C18:AC18)&gt;0,B18,"")</f>
        <v>1</v>
      </c>
    </row>
    <row r="19" spans="2:34">
      <c r="B19" s="9">
        <f t="shared" ref="B19:B82" si="5">ROW()-ROW(B$17)</f>
        <v>2</v>
      </c>
      <c r="C19" s="9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99"/>
      <c r="AG19" s="2"/>
      <c r="AH19" s="1" t="str">
        <f t="shared" ref="AH19:AH82" si="6">IF(COUNT(C19:AC19)&gt;0,B19,"")</f>
        <v/>
      </c>
    </row>
    <row r="20" spans="2:34">
      <c r="B20" s="9">
        <f t="shared" si="5"/>
        <v>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3"/>
      <c r="AG20" s="2"/>
      <c r="AH20" s="1" t="str">
        <f t="shared" si="6"/>
        <v/>
      </c>
    </row>
    <row r="21" spans="2:34">
      <c r="B21" s="9">
        <f t="shared" si="5"/>
        <v>4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3"/>
      <c r="AG21" s="2"/>
      <c r="AH21" s="1" t="str">
        <f t="shared" si="6"/>
        <v/>
      </c>
    </row>
    <row r="22" spans="2:34">
      <c r="B22" s="9">
        <f t="shared" si="5"/>
        <v>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3"/>
      <c r="AG22" s="2"/>
      <c r="AH22" s="1" t="str">
        <f t="shared" si="6"/>
        <v/>
      </c>
    </row>
    <row r="23" spans="2:34">
      <c r="B23" s="9">
        <f t="shared" si="5"/>
        <v>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2"/>
      <c r="AH23" s="1" t="str">
        <f t="shared" si="6"/>
        <v/>
      </c>
    </row>
    <row r="24" spans="2:34">
      <c r="B24" s="9">
        <f t="shared" si="5"/>
        <v>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3"/>
      <c r="AG24" s="2"/>
      <c r="AH24" s="1" t="str">
        <f t="shared" si="6"/>
        <v/>
      </c>
    </row>
    <row r="25" spans="2:34">
      <c r="B25" s="9">
        <f t="shared" si="5"/>
        <v>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3"/>
      <c r="AG25" s="2"/>
      <c r="AH25" s="1" t="str">
        <f t="shared" si="6"/>
        <v/>
      </c>
    </row>
    <row r="26" spans="2:34">
      <c r="B26" s="9">
        <f t="shared" si="5"/>
        <v>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3"/>
      <c r="AG26" s="2"/>
      <c r="AH26" s="1" t="str">
        <f t="shared" si="6"/>
        <v/>
      </c>
    </row>
    <row r="27" spans="2:34">
      <c r="B27" s="9">
        <f t="shared" si="5"/>
        <v>10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2"/>
      <c r="AH27" s="1" t="str">
        <f t="shared" si="6"/>
        <v/>
      </c>
    </row>
    <row r="28" spans="2:34">
      <c r="B28" s="9">
        <f t="shared" si="5"/>
        <v>11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3"/>
      <c r="AG28" s="2"/>
      <c r="AH28" s="1" t="str">
        <f t="shared" si="6"/>
        <v/>
      </c>
    </row>
    <row r="29" spans="2:34">
      <c r="B29" s="9">
        <f t="shared" si="5"/>
        <v>12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2"/>
      <c r="AH29" s="1" t="str">
        <f t="shared" si="6"/>
        <v/>
      </c>
    </row>
    <row r="30" spans="2:34">
      <c r="B30" s="9">
        <f t="shared" si="5"/>
        <v>13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3"/>
      <c r="AG30" s="2"/>
      <c r="AH30" s="1" t="str">
        <f t="shared" si="6"/>
        <v/>
      </c>
    </row>
    <row r="31" spans="2:34">
      <c r="B31" s="9">
        <f t="shared" si="5"/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2"/>
      <c r="AH31" s="1" t="str">
        <f t="shared" si="6"/>
        <v/>
      </c>
    </row>
    <row r="32" spans="2:34">
      <c r="B32" s="9">
        <f t="shared" si="5"/>
        <v>15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2"/>
      <c r="AH32" s="1" t="str">
        <f t="shared" si="6"/>
        <v/>
      </c>
    </row>
    <row r="33" spans="2:34">
      <c r="B33" s="9">
        <f t="shared" si="5"/>
        <v>16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2"/>
      <c r="AH33" s="1" t="str">
        <f t="shared" si="6"/>
        <v/>
      </c>
    </row>
    <row r="34" spans="2:34">
      <c r="B34" s="9">
        <f t="shared" si="5"/>
        <v>17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2"/>
      <c r="AH34" s="1" t="str">
        <f t="shared" si="6"/>
        <v/>
      </c>
    </row>
    <row r="35" spans="2:34">
      <c r="B35" s="9">
        <f t="shared" si="5"/>
        <v>18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2"/>
      <c r="AH35" s="1" t="str">
        <f t="shared" si="6"/>
        <v/>
      </c>
    </row>
    <row r="36" spans="2:34">
      <c r="B36" s="9">
        <f t="shared" si="5"/>
        <v>19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3"/>
      <c r="AG36" s="2"/>
      <c r="AH36" s="1" t="str">
        <f t="shared" si="6"/>
        <v/>
      </c>
    </row>
    <row r="37" spans="2:34">
      <c r="B37" s="9">
        <f t="shared" si="5"/>
        <v>20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2"/>
      <c r="AH37" s="1" t="str">
        <f t="shared" si="6"/>
        <v/>
      </c>
    </row>
    <row r="38" spans="2:34">
      <c r="B38" s="9">
        <f t="shared" si="5"/>
        <v>21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3"/>
      <c r="AG38" s="2"/>
      <c r="AH38" s="1" t="str">
        <f t="shared" si="6"/>
        <v/>
      </c>
    </row>
    <row r="39" spans="2:34">
      <c r="B39" s="9">
        <f t="shared" si="5"/>
        <v>22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3"/>
      <c r="AG39" s="2"/>
      <c r="AH39" s="1" t="str">
        <f t="shared" si="6"/>
        <v/>
      </c>
    </row>
    <row r="40" spans="2:34">
      <c r="B40" s="9">
        <f t="shared" si="5"/>
        <v>23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3"/>
      <c r="AG40" s="2"/>
      <c r="AH40" s="1" t="str">
        <f t="shared" si="6"/>
        <v/>
      </c>
    </row>
    <row r="41" spans="2:34">
      <c r="B41" s="9">
        <f t="shared" si="5"/>
        <v>24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3"/>
      <c r="AG41" s="2"/>
      <c r="AH41" s="1" t="str">
        <f t="shared" si="6"/>
        <v/>
      </c>
    </row>
    <row r="42" spans="2:34">
      <c r="B42" s="9">
        <f t="shared" si="5"/>
        <v>25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/>
      <c r="AG42" s="2"/>
      <c r="AH42" s="1" t="str">
        <f t="shared" si="6"/>
        <v/>
      </c>
    </row>
    <row r="43" spans="2:34">
      <c r="B43" s="9">
        <f t="shared" si="5"/>
        <v>26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3"/>
      <c r="AG43" s="2"/>
      <c r="AH43" s="1" t="str">
        <f t="shared" si="6"/>
        <v/>
      </c>
    </row>
    <row r="44" spans="2:34">
      <c r="B44" s="9">
        <f t="shared" si="5"/>
        <v>27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3"/>
      <c r="AG44" s="2"/>
      <c r="AH44" s="1" t="str">
        <f t="shared" si="6"/>
        <v/>
      </c>
    </row>
    <row r="45" spans="2:34">
      <c r="B45" s="9">
        <f t="shared" si="5"/>
        <v>28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2"/>
      <c r="AH45" s="1" t="str">
        <f t="shared" si="6"/>
        <v/>
      </c>
    </row>
    <row r="46" spans="2:34">
      <c r="B46" s="9">
        <f t="shared" si="5"/>
        <v>29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3"/>
      <c r="AG46" s="2"/>
      <c r="AH46" s="1" t="str">
        <f t="shared" si="6"/>
        <v/>
      </c>
    </row>
    <row r="47" spans="2:34">
      <c r="B47" s="9">
        <f t="shared" si="5"/>
        <v>30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3"/>
      <c r="AG47" s="2"/>
      <c r="AH47" s="1" t="str">
        <f t="shared" si="6"/>
        <v/>
      </c>
    </row>
    <row r="48" spans="2:34">
      <c r="B48" s="9">
        <f t="shared" si="5"/>
        <v>31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3"/>
      <c r="AG48" s="2"/>
      <c r="AH48" s="1" t="str">
        <f t="shared" si="6"/>
        <v/>
      </c>
    </row>
    <row r="49" spans="2:34">
      <c r="B49" s="9">
        <f t="shared" si="5"/>
        <v>32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/>
      <c r="AG49" s="2"/>
      <c r="AH49" s="1" t="str">
        <f t="shared" si="6"/>
        <v/>
      </c>
    </row>
    <row r="50" spans="2:34">
      <c r="B50" s="9">
        <f t="shared" si="5"/>
        <v>33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/>
      <c r="AG50" s="2"/>
      <c r="AH50" s="1" t="str">
        <f t="shared" si="6"/>
        <v/>
      </c>
    </row>
    <row r="51" spans="2:34">
      <c r="B51" s="9">
        <f t="shared" si="5"/>
        <v>34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3"/>
      <c r="AG51" s="2"/>
      <c r="AH51" s="1" t="str">
        <f t="shared" si="6"/>
        <v/>
      </c>
    </row>
    <row r="52" spans="2:34">
      <c r="B52" s="9">
        <f t="shared" si="5"/>
        <v>35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3"/>
      <c r="AG52" s="2"/>
      <c r="AH52" s="1" t="str">
        <f t="shared" si="6"/>
        <v/>
      </c>
    </row>
    <row r="53" spans="2:34">
      <c r="B53" s="9">
        <f t="shared" si="5"/>
        <v>36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3"/>
      <c r="AG53" s="2"/>
      <c r="AH53" s="1" t="str">
        <f t="shared" si="6"/>
        <v/>
      </c>
    </row>
    <row r="54" spans="2:34">
      <c r="B54" s="9">
        <f t="shared" si="5"/>
        <v>37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3"/>
      <c r="AG54" s="2"/>
      <c r="AH54" s="1" t="str">
        <f t="shared" si="6"/>
        <v/>
      </c>
    </row>
    <row r="55" spans="2:34">
      <c r="B55" s="9">
        <f t="shared" si="5"/>
        <v>38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3"/>
      <c r="AG55" s="2"/>
      <c r="AH55" s="1" t="str">
        <f t="shared" si="6"/>
        <v/>
      </c>
    </row>
    <row r="56" spans="2:34">
      <c r="B56" s="9">
        <f t="shared" si="5"/>
        <v>39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3"/>
      <c r="AG56" s="2"/>
      <c r="AH56" s="1" t="str">
        <f t="shared" si="6"/>
        <v/>
      </c>
    </row>
    <row r="57" spans="2:34">
      <c r="B57" s="9">
        <f t="shared" si="5"/>
        <v>40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/>
      <c r="AG57" s="2"/>
      <c r="AH57" s="1" t="str">
        <f t="shared" si="6"/>
        <v/>
      </c>
    </row>
    <row r="58" spans="2:34">
      <c r="B58" s="9">
        <f t="shared" si="5"/>
        <v>41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3"/>
      <c r="AG58" s="2"/>
      <c r="AH58" s="1" t="str">
        <f t="shared" si="6"/>
        <v/>
      </c>
    </row>
    <row r="59" spans="2:34">
      <c r="B59" s="9">
        <f t="shared" si="5"/>
        <v>42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3"/>
      <c r="AG59" s="2"/>
      <c r="AH59" s="1" t="str">
        <f t="shared" si="6"/>
        <v/>
      </c>
    </row>
    <row r="60" spans="2:34">
      <c r="B60" s="9">
        <f t="shared" si="5"/>
        <v>43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3"/>
      <c r="AG60" s="2"/>
      <c r="AH60" s="1" t="str">
        <f t="shared" si="6"/>
        <v/>
      </c>
    </row>
    <row r="61" spans="2:34">
      <c r="B61" s="9">
        <f t="shared" si="5"/>
        <v>44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3"/>
      <c r="AG61" s="2"/>
      <c r="AH61" s="1" t="str">
        <f t="shared" si="6"/>
        <v/>
      </c>
    </row>
    <row r="62" spans="2:34">
      <c r="B62" s="9">
        <f t="shared" si="5"/>
        <v>45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3"/>
      <c r="AG62" s="2"/>
      <c r="AH62" s="1" t="str">
        <f t="shared" si="6"/>
        <v/>
      </c>
    </row>
    <row r="63" spans="2:34">
      <c r="B63" s="9">
        <f t="shared" si="5"/>
        <v>46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3"/>
      <c r="AG63" s="2"/>
      <c r="AH63" s="1" t="str">
        <f t="shared" si="6"/>
        <v/>
      </c>
    </row>
    <row r="64" spans="2:34">
      <c r="B64" s="9">
        <f t="shared" si="5"/>
        <v>47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/>
      <c r="AG64" s="2"/>
      <c r="AH64" s="1" t="str">
        <f t="shared" si="6"/>
        <v/>
      </c>
    </row>
    <row r="65" spans="2:34">
      <c r="B65" s="9">
        <f t="shared" si="5"/>
        <v>48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3"/>
      <c r="AG65" s="2"/>
      <c r="AH65" s="1" t="str">
        <f t="shared" si="6"/>
        <v/>
      </c>
    </row>
    <row r="66" spans="2:34">
      <c r="B66" s="9">
        <f t="shared" si="5"/>
        <v>49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3"/>
      <c r="AG66" s="2"/>
      <c r="AH66" s="1" t="str">
        <f t="shared" si="6"/>
        <v/>
      </c>
    </row>
    <row r="67" spans="2:34">
      <c r="B67" s="9">
        <f t="shared" si="5"/>
        <v>50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3"/>
      <c r="AG67" s="2"/>
      <c r="AH67" s="1" t="str">
        <f t="shared" si="6"/>
        <v/>
      </c>
    </row>
    <row r="68" spans="2:34">
      <c r="B68" s="9">
        <f t="shared" si="5"/>
        <v>51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3"/>
      <c r="AG68" s="2"/>
      <c r="AH68" s="1" t="str">
        <f t="shared" si="6"/>
        <v/>
      </c>
    </row>
    <row r="69" spans="2:34">
      <c r="B69" s="9">
        <f t="shared" si="5"/>
        <v>52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3"/>
      <c r="AG69" s="2"/>
      <c r="AH69" s="1" t="str">
        <f t="shared" si="6"/>
        <v/>
      </c>
    </row>
    <row r="70" spans="2:34">
      <c r="B70" s="9">
        <f t="shared" si="5"/>
        <v>53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3"/>
      <c r="AG70" s="2"/>
      <c r="AH70" s="1" t="str">
        <f t="shared" si="6"/>
        <v/>
      </c>
    </row>
    <row r="71" spans="2:34">
      <c r="B71" s="9">
        <f t="shared" si="5"/>
        <v>54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3"/>
      <c r="AG71" s="2"/>
      <c r="AH71" s="1" t="str">
        <f t="shared" si="6"/>
        <v/>
      </c>
    </row>
    <row r="72" spans="2:34">
      <c r="B72" s="9">
        <f t="shared" si="5"/>
        <v>55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3"/>
      <c r="AG72" s="2"/>
      <c r="AH72" s="1" t="str">
        <f t="shared" si="6"/>
        <v/>
      </c>
    </row>
    <row r="73" spans="2:34">
      <c r="B73" s="9">
        <f t="shared" si="5"/>
        <v>56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3"/>
      <c r="AG73" s="2"/>
      <c r="AH73" s="1" t="str">
        <f t="shared" si="6"/>
        <v/>
      </c>
    </row>
    <row r="74" spans="2:34">
      <c r="B74" s="9">
        <f t="shared" si="5"/>
        <v>57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3"/>
      <c r="AG74" s="2"/>
      <c r="AH74" s="1" t="str">
        <f t="shared" si="6"/>
        <v/>
      </c>
    </row>
    <row r="75" spans="2:34">
      <c r="B75" s="9">
        <f t="shared" si="5"/>
        <v>58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3"/>
      <c r="AG75" s="2"/>
      <c r="AH75" s="1" t="str">
        <f t="shared" si="6"/>
        <v/>
      </c>
    </row>
    <row r="76" spans="2:34">
      <c r="B76" s="9">
        <f t="shared" si="5"/>
        <v>59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3"/>
      <c r="AG76" s="2"/>
      <c r="AH76" s="1" t="str">
        <f t="shared" si="6"/>
        <v/>
      </c>
    </row>
    <row r="77" spans="2:34">
      <c r="B77" s="9">
        <f t="shared" si="5"/>
        <v>60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3"/>
      <c r="AG77" s="2"/>
      <c r="AH77" s="1" t="str">
        <f t="shared" si="6"/>
        <v/>
      </c>
    </row>
    <row r="78" spans="2:34">
      <c r="B78" s="9">
        <f t="shared" si="5"/>
        <v>61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3"/>
      <c r="AG78" s="2"/>
      <c r="AH78" s="1" t="str">
        <f t="shared" si="6"/>
        <v/>
      </c>
    </row>
    <row r="79" spans="2:34">
      <c r="B79" s="9">
        <f t="shared" si="5"/>
        <v>62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3"/>
      <c r="AG79" s="2"/>
      <c r="AH79" s="1" t="str">
        <f t="shared" si="6"/>
        <v/>
      </c>
    </row>
    <row r="80" spans="2:34">
      <c r="B80" s="9">
        <f t="shared" si="5"/>
        <v>63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3"/>
      <c r="AG80" s="2"/>
      <c r="AH80" s="1" t="str">
        <f t="shared" si="6"/>
        <v/>
      </c>
    </row>
    <row r="81" spans="2:34">
      <c r="B81" s="9">
        <f t="shared" si="5"/>
        <v>64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3"/>
      <c r="AG81" s="2"/>
      <c r="AH81" s="1" t="str">
        <f t="shared" si="6"/>
        <v/>
      </c>
    </row>
    <row r="82" spans="2:34">
      <c r="B82" s="9">
        <f t="shared" si="5"/>
        <v>65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3"/>
      <c r="AG82" s="2"/>
      <c r="AH82" s="1" t="str">
        <f t="shared" si="6"/>
        <v/>
      </c>
    </row>
    <row r="83" spans="2:34">
      <c r="B83" s="9">
        <f t="shared" ref="B83:B146" si="7">ROW()-ROW(B$17)</f>
        <v>66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/>
      <c r="AG83" s="2"/>
      <c r="AH83" s="1" t="str">
        <f t="shared" ref="AH83:AH146" si="8">IF(COUNT(C83:AC83)&gt;0,B83,"")</f>
        <v/>
      </c>
    </row>
    <row r="84" spans="2:34">
      <c r="B84" s="9">
        <f t="shared" si="7"/>
        <v>67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3"/>
      <c r="AG84" s="2"/>
      <c r="AH84" s="1" t="str">
        <f t="shared" si="8"/>
        <v/>
      </c>
    </row>
    <row r="85" spans="2:34">
      <c r="B85" s="9">
        <f t="shared" si="7"/>
        <v>68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3"/>
      <c r="AG85" s="2"/>
      <c r="AH85" s="1" t="str">
        <f t="shared" si="8"/>
        <v/>
      </c>
    </row>
    <row r="86" spans="2:34">
      <c r="B86" s="9">
        <f t="shared" si="7"/>
        <v>69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3"/>
      <c r="AG86" s="2"/>
      <c r="AH86" s="1" t="str">
        <f t="shared" si="8"/>
        <v/>
      </c>
    </row>
    <row r="87" spans="2:34">
      <c r="B87" s="9">
        <f t="shared" si="7"/>
        <v>70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  <c r="AG87" s="2"/>
      <c r="AH87" s="1" t="str">
        <f t="shared" si="8"/>
        <v/>
      </c>
    </row>
    <row r="88" spans="2:34">
      <c r="B88" s="9">
        <f t="shared" si="7"/>
        <v>71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3"/>
      <c r="AG88" s="2"/>
      <c r="AH88" s="1" t="str">
        <f t="shared" si="8"/>
        <v/>
      </c>
    </row>
    <row r="89" spans="2:34">
      <c r="B89" s="9">
        <f t="shared" si="7"/>
        <v>72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  <c r="AG89" s="2"/>
      <c r="AH89" s="1" t="str">
        <f t="shared" si="8"/>
        <v/>
      </c>
    </row>
    <row r="90" spans="2:34">
      <c r="B90" s="9">
        <f t="shared" si="7"/>
        <v>73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3"/>
      <c r="AG90" s="2"/>
      <c r="AH90" s="1" t="str">
        <f t="shared" si="8"/>
        <v/>
      </c>
    </row>
    <row r="91" spans="2:34">
      <c r="B91" s="9">
        <f t="shared" si="7"/>
        <v>74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3"/>
      <c r="AG91" s="2"/>
      <c r="AH91" s="1" t="str">
        <f t="shared" si="8"/>
        <v/>
      </c>
    </row>
    <row r="92" spans="2:34">
      <c r="B92" s="9">
        <f t="shared" si="7"/>
        <v>75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3"/>
      <c r="AG92" s="2"/>
      <c r="AH92" s="1" t="str">
        <f t="shared" si="8"/>
        <v/>
      </c>
    </row>
    <row r="93" spans="2:34">
      <c r="B93" s="9">
        <f t="shared" si="7"/>
        <v>76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3"/>
      <c r="AG93" s="2"/>
      <c r="AH93" s="1" t="str">
        <f t="shared" si="8"/>
        <v/>
      </c>
    </row>
    <row r="94" spans="2:34">
      <c r="B94" s="9">
        <f t="shared" si="7"/>
        <v>77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3"/>
      <c r="AG94" s="2"/>
      <c r="AH94" s="1" t="str">
        <f t="shared" si="8"/>
        <v/>
      </c>
    </row>
    <row r="95" spans="2:34">
      <c r="B95" s="9">
        <f t="shared" si="7"/>
        <v>78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3"/>
      <c r="AG95" s="2"/>
      <c r="AH95" s="1" t="str">
        <f t="shared" si="8"/>
        <v/>
      </c>
    </row>
    <row r="96" spans="2:34">
      <c r="B96" s="9">
        <f t="shared" si="7"/>
        <v>79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3"/>
      <c r="AG96" s="2"/>
      <c r="AH96" s="1" t="str">
        <f t="shared" si="8"/>
        <v/>
      </c>
    </row>
    <row r="97" spans="2:34">
      <c r="B97" s="9">
        <f t="shared" si="7"/>
        <v>80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3"/>
      <c r="AG97" s="2"/>
      <c r="AH97" s="1" t="str">
        <f t="shared" si="8"/>
        <v/>
      </c>
    </row>
    <row r="98" spans="2:34">
      <c r="B98" s="9">
        <f t="shared" si="7"/>
        <v>81</v>
      </c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3"/>
      <c r="AG98" s="2"/>
      <c r="AH98" s="1" t="str">
        <f t="shared" si="8"/>
        <v/>
      </c>
    </row>
    <row r="99" spans="2:34">
      <c r="B99" s="9">
        <f t="shared" si="7"/>
        <v>82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3"/>
      <c r="AG99" s="2"/>
      <c r="AH99" s="1" t="str">
        <f t="shared" si="8"/>
        <v/>
      </c>
    </row>
    <row r="100" spans="2:34">
      <c r="B100" s="9">
        <f t="shared" si="7"/>
        <v>83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3"/>
      <c r="AG100" s="2"/>
      <c r="AH100" s="1" t="str">
        <f t="shared" si="8"/>
        <v/>
      </c>
    </row>
    <row r="101" spans="2:34">
      <c r="B101" s="9">
        <f t="shared" si="7"/>
        <v>84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3"/>
      <c r="AG101" s="2"/>
      <c r="AH101" s="1" t="str">
        <f t="shared" si="8"/>
        <v/>
      </c>
    </row>
    <row r="102" spans="2:34">
      <c r="B102" s="9">
        <f t="shared" si="7"/>
        <v>85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3"/>
      <c r="AG102" s="2"/>
      <c r="AH102" s="1" t="str">
        <f t="shared" si="8"/>
        <v/>
      </c>
    </row>
    <row r="103" spans="2:34">
      <c r="B103" s="9">
        <f t="shared" si="7"/>
        <v>86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  <c r="AG103" s="2"/>
      <c r="AH103" s="1" t="str">
        <f t="shared" si="8"/>
        <v/>
      </c>
    </row>
    <row r="104" spans="2:34">
      <c r="B104" s="9">
        <f t="shared" si="7"/>
        <v>87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3"/>
      <c r="AG104" s="2"/>
      <c r="AH104" s="1" t="str">
        <f t="shared" si="8"/>
        <v/>
      </c>
    </row>
    <row r="105" spans="2:34">
      <c r="B105" s="9">
        <f t="shared" si="7"/>
        <v>88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3"/>
      <c r="AG105" s="2"/>
      <c r="AH105" s="1" t="str">
        <f t="shared" si="8"/>
        <v/>
      </c>
    </row>
    <row r="106" spans="2:34">
      <c r="B106" s="9">
        <f t="shared" si="7"/>
        <v>89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  <c r="AG106" s="2"/>
      <c r="AH106" s="1" t="str">
        <f t="shared" si="8"/>
        <v/>
      </c>
    </row>
    <row r="107" spans="2:34">
      <c r="B107" s="9">
        <f t="shared" si="7"/>
        <v>90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3"/>
      <c r="AG107" s="2"/>
      <c r="AH107" s="1" t="str">
        <f t="shared" si="8"/>
        <v/>
      </c>
    </row>
    <row r="108" spans="2:34">
      <c r="B108" s="9">
        <f t="shared" si="7"/>
        <v>91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3"/>
      <c r="AG108" s="2"/>
      <c r="AH108" s="1" t="str">
        <f t="shared" si="8"/>
        <v/>
      </c>
    </row>
    <row r="109" spans="2:34">
      <c r="B109" s="9">
        <f t="shared" si="7"/>
        <v>92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3"/>
      <c r="AG109" s="2"/>
      <c r="AH109" s="1" t="str">
        <f t="shared" si="8"/>
        <v/>
      </c>
    </row>
    <row r="110" spans="2:34">
      <c r="B110" s="9">
        <f t="shared" si="7"/>
        <v>93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3"/>
      <c r="AG110" s="2"/>
      <c r="AH110" s="1" t="str">
        <f t="shared" si="8"/>
        <v/>
      </c>
    </row>
    <row r="111" spans="2:34">
      <c r="B111" s="9">
        <f t="shared" si="7"/>
        <v>94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3"/>
      <c r="AG111" s="2"/>
      <c r="AH111" s="1" t="str">
        <f t="shared" si="8"/>
        <v/>
      </c>
    </row>
    <row r="112" spans="2:34">
      <c r="B112" s="9">
        <f t="shared" si="7"/>
        <v>95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3"/>
      <c r="AG112" s="2"/>
      <c r="AH112" s="1" t="str">
        <f t="shared" si="8"/>
        <v/>
      </c>
    </row>
    <row r="113" spans="2:34">
      <c r="B113" s="9">
        <f t="shared" si="7"/>
        <v>96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3"/>
      <c r="AG113" s="2"/>
      <c r="AH113" s="1" t="str">
        <f t="shared" si="8"/>
        <v/>
      </c>
    </row>
    <row r="114" spans="2:34">
      <c r="B114" s="9">
        <f t="shared" si="7"/>
        <v>97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3"/>
      <c r="AG114" s="2"/>
      <c r="AH114" s="1" t="str">
        <f t="shared" si="8"/>
        <v/>
      </c>
    </row>
    <row r="115" spans="2:34">
      <c r="B115" s="9">
        <f t="shared" si="7"/>
        <v>98</v>
      </c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3"/>
      <c r="AG115" s="2"/>
      <c r="AH115" s="1" t="str">
        <f t="shared" si="8"/>
        <v/>
      </c>
    </row>
    <row r="116" spans="2:34">
      <c r="B116" s="9">
        <f t="shared" si="7"/>
        <v>99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3"/>
      <c r="AG116" s="2"/>
      <c r="AH116" s="1" t="str">
        <f t="shared" si="8"/>
        <v/>
      </c>
    </row>
    <row r="117" spans="2:34">
      <c r="B117" s="9">
        <f t="shared" si="7"/>
        <v>100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3"/>
      <c r="AG117" s="2"/>
      <c r="AH117" s="1" t="str">
        <f t="shared" si="8"/>
        <v/>
      </c>
    </row>
    <row r="118" spans="2:34">
      <c r="B118" s="9">
        <f t="shared" si="7"/>
        <v>101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3"/>
      <c r="AG118" s="2"/>
      <c r="AH118" s="1" t="str">
        <f t="shared" si="8"/>
        <v/>
      </c>
    </row>
    <row r="119" spans="2:34">
      <c r="B119" s="9">
        <f t="shared" si="7"/>
        <v>102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3"/>
      <c r="AG119" s="2"/>
      <c r="AH119" s="1" t="str">
        <f t="shared" si="8"/>
        <v/>
      </c>
    </row>
    <row r="120" spans="2:34">
      <c r="B120" s="9">
        <f t="shared" si="7"/>
        <v>103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3"/>
      <c r="AG120" s="2"/>
      <c r="AH120" s="1" t="str">
        <f t="shared" si="8"/>
        <v/>
      </c>
    </row>
    <row r="121" spans="2:34">
      <c r="B121" s="9">
        <f t="shared" si="7"/>
        <v>104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3"/>
      <c r="AG121" s="2"/>
      <c r="AH121" s="1" t="str">
        <f t="shared" si="8"/>
        <v/>
      </c>
    </row>
    <row r="122" spans="2:34">
      <c r="B122" s="9">
        <f t="shared" si="7"/>
        <v>105</v>
      </c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3"/>
      <c r="AG122" s="2"/>
      <c r="AH122" s="1" t="str">
        <f t="shared" si="8"/>
        <v/>
      </c>
    </row>
    <row r="123" spans="2:34">
      <c r="B123" s="9">
        <f t="shared" si="7"/>
        <v>106</v>
      </c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3"/>
      <c r="AG123" s="2"/>
      <c r="AH123" s="1" t="str">
        <f t="shared" si="8"/>
        <v/>
      </c>
    </row>
    <row r="124" spans="2:34">
      <c r="B124" s="9">
        <f t="shared" si="7"/>
        <v>107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3"/>
      <c r="AG124" s="2"/>
      <c r="AH124" s="1" t="str">
        <f t="shared" si="8"/>
        <v/>
      </c>
    </row>
    <row r="125" spans="2:34">
      <c r="B125" s="9">
        <f t="shared" si="7"/>
        <v>108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3"/>
      <c r="AG125" s="2"/>
      <c r="AH125" s="1" t="str">
        <f t="shared" si="8"/>
        <v/>
      </c>
    </row>
    <row r="126" spans="2:34">
      <c r="B126" s="9">
        <f t="shared" si="7"/>
        <v>109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3"/>
      <c r="AG126" s="2"/>
      <c r="AH126" s="1" t="str">
        <f t="shared" si="8"/>
        <v/>
      </c>
    </row>
    <row r="127" spans="2:34">
      <c r="B127" s="9">
        <f t="shared" si="7"/>
        <v>110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3"/>
      <c r="AG127" s="2"/>
      <c r="AH127" s="1" t="str">
        <f t="shared" si="8"/>
        <v/>
      </c>
    </row>
    <row r="128" spans="2:34">
      <c r="B128" s="9">
        <f t="shared" si="7"/>
        <v>111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3"/>
      <c r="AG128" s="2"/>
      <c r="AH128" s="1" t="str">
        <f t="shared" si="8"/>
        <v/>
      </c>
    </row>
    <row r="129" spans="2:34">
      <c r="B129" s="9">
        <f t="shared" si="7"/>
        <v>112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3"/>
      <c r="AG129" s="2"/>
      <c r="AH129" s="1" t="str">
        <f t="shared" si="8"/>
        <v/>
      </c>
    </row>
    <row r="130" spans="2:34">
      <c r="B130" s="9">
        <f t="shared" si="7"/>
        <v>113</v>
      </c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3"/>
      <c r="AG130" s="2"/>
      <c r="AH130" s="1" t="str">
        <f t="shared" si="8"/>
        <v/>
      </c>
    </row>
    <row r="131" spans="2:34">
      <c r="B131" s="9">
        <f t="shared" si="7"/>
        <v>114</v>
      </c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3"/>
      <c r="AG131" s="2"/>
      <c r="AH131" s="1" t="str">
        <f t="shared" si="8"/>
        <v/>
      </c>
    </row>
    <row r="132" spans="2:34">
      <c r="B132" s="9">
        <f t="shared" si="7"/>
        <v>115</v>
      </c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3"/>
      <c r="AG132" s="2"/>
      <c r="AH132" s="1" t="str">
        <f t="shared" si="8"/>
        <v/>
      </c>
    </row>
    <row r="133" spans="2:34">
      <c r="B133" s="9">
        <f t="shared" si="7"/>
        <v>116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3"/>
      <c r="AG133" s="2"/>
      <c r="AH133" s="1" t="str">
        <f t="shared" si="8"/>
        <v/>
      </c>
    </row>
    <row r="134" spans="2:34">
      <c r="B134" s="9">
        <f t="shared" si="7"/>
        <v>117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3"/>
      <c r="AG134" s="2"/>
      <c r="AH134" s="1" t="str">
        <f t="shared" si="8"/>
        <v/>
      </c>
    </row>
    <row r="135" spans="2:34">
      <c r="B135" s="9">
        <f t="shared" si="7"/>
        <v>118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3"/>
      <c r="AG135" s="2"/>
      <c r="AH135" s="1" t="str">
        <f t="shared" si="8"/>
        <v/>
      </c>
    </row>
    <row r="136" spans="2:34">
      <c r="B136" s="9">
        <f t="shared" si="7"/>
        <v>119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3"/>
      <c r="AG136" s="2"/>
      <c r="AH136" s="1" t="str">
        <f t="shared" si="8"/>
        <v/>
      </c>
    </row>
    <row r="137" spans="2:34">
      <c r="B137" s="9">
        <f t="shared" si="7"/>
        <v>120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3"/>
      <c r="AG137" s="2"/>
      <c r="AH137" s="1" t="str">
        <f t="shared" si="8"/>
        <v/>
      </c>
    </row>
    <row r="138" spans="2:34">
      <c r="B138" s="9">
        <f t="shared" si="7"/>
        <v>121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3"/>
      <c r="AG138" s="2"/>
      <c r="AH138" s="1" t="str">
        <f t="shared" si="8"/>
        <v/>
      </c>
    </row>
    <row r="139" spans="2:34">
      <c r="B139" s="9">
        <f t="shared" si="7"/>
        <v>122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3"/>
      <c r="AG139" s="2"/>
      <c r="AH139" s="1" t="str">
        <f t="shared" si="8"/>
        <v/>
      </c>
    </row>
    <row r="140" spans="2:34">
      <c r="B140" s="9">
        <f t="shared" si="7"/>
        <v>123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3"/>
      <c r="AG140" s="2"/>
      <c r="AH140" s="1" t="str">
        <f t="shared" si="8"/>
        <v/>
      </c>
    </row>
    <row r="141" spans="2:34">
      <c r="B141" s="9">
        <f t="shared" si="7"/>
        <v>124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3"/>
      <c r="AG141" s="2"/>
      <c r="AH141" s="1" t="str">
        <f t="shared" si="8"/>
        <v/>
      </c>
    </row>
    <row r="142" spans="2:34">
      <c r="B142" s="9">
        <f t="shared" si="7"/>
        <v>125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3"/>
      <c r="AG142" s="2"/>
      <c r="AH142" s="1" t="str">
        <f t="shared" si="8"/>
        <v/>
      </c>
    </row>
    <row r="143" spans="2:34">
      <c r="B143" s="9">
        <f t="shared" si="7"/>
        <v>126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3"/>
      <c r="AG143" s="2"/>
      <c r="AH143" s="1" t="str">
        <f t="shared" si="8"/>
        <v/>
      </c>
    </row>
    <row r="144" spans="2:34">
      <c r="B144" s="9">
        <f t="shared" si="7"/>
        <v>127</v>
      </c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3"/>
      <c r="AG144" s="2"/>
      <c r="AH144" s="1" t="str">
        <f t="shared" si="8"/>
        <v/>
      </c>
    </row>
    <row r="145" spans="2:34">
      <c r="B145" s="9">
        <f t="shared" si="7"/>
        <v>128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3"/>
      <c r="AG145" s="2"/>
      <c r="AH145" s="1" t="str">
        <f t="shared" si="8"/>
        <v/>
      </c>
    </row>
    <row r="146" spans="2:34">
      <c r="B146" s="9">
        <f t="shared" si="7"/>
        <v>129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3"/>
      <c r="AG146" s="2"/>
      <c r="AH146" s="1" t="str">
        <f t="shared" si="8"/>
        <v/>
      </c>
    </row>
    <row r="147" spans="2:34">
      <c r="B147" s="9">
        <f t="shared" ref="B147:B210" si="9">ROW()-ROW(B$17)</f>
        <v>130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3"/>
      <c r="AG147" s="2"/>
      <c r="AH147" s="1" t="str">
        <f t="shared" ref="AH147:AH210" si="10">IF(COUNT(C147:AC147)&gt;0,B147,"")</f>
        <v/>
      </c>
    </row>
    <row r="148" spans="2:34">
      <c r="B148" s="9">
        <f t="shared" si="9"/>
        <v>131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3"/>
      <c r="AG148" s="2"/>
      <c r="AH148" s="1" t="str">
        <f t="shared" si="10"/>
        <v/>
      </c>
    </row>
    <row r="149" spans="2:34">
      <c r="B149" s="9">
        <f t="shared" si="9"/>
        <v>132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3"/>
      <c r="AG149" s="2"/>
      <c r="AH149" s="1" t="str">
        <f t="shared" si="10"/>
        <v/>
      </c>
    </row>
    <row r="150" spans="2:34">
      <c r="B150" s="9">
        <f t="shared" si="9"/>
        <v>133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3"/>
      <c r="AG150" s="2"/>
      <c r="AH150" s="1" t="str">
        <f t="shared" si="10"/>
        <v/>
      </c>
    </row>
    <row r="151" spans="2:34">
      <c r="B151" s="9">
        <f t="shared" si="9"/>
        <v>134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3"/>
      <c r="AG151" s="2"/>
      <c r="AH151" s="1" t="str">
        <f t="shared" si="10"/>
        <v/>
      </c>
    </row>
    <row r="152" spans="2:34">
      <c r="B152" s="9">
        <f t="shared" si="9"/>
        <v>135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3"/>
      <c r="AG152" s="2"/>
      <c r="AH152" s="1" t="str">
        <f t="shared" si="10"/>
        <v/>
      </c>
    </row>
    <row r="153" spans="2:34">
      <c r="B153" s="9">
        <f t="shared" si="9"/>
        <v>136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3"/>
      <c r="AG153" s="2"/>
      <c r="AH153" s="1" t="str">
        <f t="shared" si="10"/>
        <v/>
      </c>
    </row>
    <row r="154" spans="2:34">
      <c r="B154" s="9">
        <f t="shared" si="9"/>
        <v>137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3"/>
      <c r="AG154" s="2"/>
      <c r="AH154" s="1" t="str">
        <f t="shared" si="10"/>
        <v/>
      </c>
    </row>
    <row r="155" spans="2:34">
      <c r="B155" s="9">
        <f t="shared" si="9"/>
        <v>138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3"/>
      <c r="AG155" s="2"/>
      <c r="AH155" s="1" t="str">
        <f t="shared" si="10"/>
        <v/>
      </c>
    </row>
    <row r="156" spans="2:34">
      <c r="B156" s="9">
        <f t="shared" si="9"/>
        <v>139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3"/>
      <c r="AG156" s="2"/>
      <c r="AH156" s="1" t="str">
        <f t="shared" si="10"/>
        <v/>
      </c>
    </row>
    <row r="157" spans="2:34">
      <c r="B157" s="9">
        <f t="shared" si="9"/>
        <v>140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3"/>
      <c r="AG157" s="2"/>
      <c r="AH157" s="1" t="str">
        <f t="shared" si="10"/>
        <v/>
      </c>
    </row>
    <row r="158" spans="2:34">
      <c r="B158" s="9">
        <f t="shared" si="9"/>
        <v>141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3"/>
      <c r="AG158" s="2"/>
      <c r="AH158" s="1" t="str">
        <f t="shared" si="10"/>
        <v/>
      </c>
    </row>
    <row r="159" spans="2:34">
      <c r="B159" s="9">
        <f t="shared" si="9"/>
        <v>142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3"/>
      <c r="AG159" s="2"/>
      <c r="AH159" s="1" t="str">
        <f t="shared" si="10"/>
        <v/>
      </c>
    </row>
    <row r="160" spans="2:34">
      <c r="B160" s="9">
        <f t="shared" si="9"/>
        <v>143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3"/>
      <c r="AG160" s="2"/>
      <c r="AH160" s="1" t="str">
        <f t="shared" si="10"/>
        <v/>
      </c>
    </row>
    <row r="161" spans="2:34">
      <c r="B161" s="9">
        <f t="shared" si="9"/>
        <v>144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3"/>
      <c r="AG161" s="2"/>
      <c r="AH161" s="1" t="str">
        <f t="shared" si="10"/>
        <v/>
      </c>
    </row>
    <row r="162" spans="2:34">
      <c r="B162" s="9">
        <f t="shared" si="9"/>
        <v>145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3"/>
      <c r="AG162" s="2"/>
      <c r="AH162" s="1" t="str">
        <f t="shared" si="10"/>
        <v/>
      </c>
    </row>
    <row r="163" spans="2:34">
      <c r="B163" s="9">
        <f t="shared" si="9"/>
        <v>146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3"/>
      <c r="AG163" s="2"/>
      <c r="AH163" s="1" t="str">
        <f t="shared" si="10"/>
        <v/>
      </c>
    </row>
    <row r="164" spans="2:34">
      <c r="B164" s="9">
        <f t="shared" si="9"/>
        <v>147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3"/>
      <c r="AG164" s="2"/>
      <c r="AH164" s="1" t="str">
        <f t="shared" si="10"/>
        <v/>
      </c>
    </row>
    <row r="165" spans="2:34">
      <c r="B165" s="9">
        <f t="shared" si="9"/>
        <v>148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3"/>
      <c r="AG165" s="2"/>
      <c r="AH165" s="1" t="str">
        <f t="shared" si="10"/>
        <v/>
      </c>
    </row>
    <row r="166" spans="2:34">
      <c r="B166" s="9">
        <f t="shared" si="9"/>
        <v>149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3"/>
      <c r="AG166" s="2"/>
      <c r="AH166" s="1" t="str">
        <f t="shared" si="10"/>
        <v/>
      </c>
    </row>
    <row r="167" spans="2:34">
      <c r="B167" s="9">
        <f t="shared" si="9"/>
        <v>150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3"/>
      <c r="AG167" s="2"/>
      <c r="AH167" s="1" t="str">
        <f t="shared" si="10"/>
        <v/>
      </c>
    </row>
    <row r="168" spans="2:34">
      <c r="B168" s="9">
        <f t="shared" si="9"/>
        <v>151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3"/>
      <c r="AG168" s="2"/>
      <c r="AH168" s="1" t="str">
        <f t="shared" si="10"/>
        <v/>
      </c>
    </row>
    <row r="169" spans="2:34">
      <c r="B169" s="9">
        <f t="shared" si="9"/>
        <v>152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3"/>
      <c r="AG169" s="2"/>
      <c r="AH169" s="1" t="str">
        <f t="shared" si="10"/>
        <v/>
      </c>
    </row>
    <row r="170" spans="2:34">
      <c r="B170" s="9">
        <f t="shared" si="9"/>
        <v>153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3"/>
      <c r="AG170" s="2"/>
      <c r="AH170" s="1" t="str">
        <f t="shared" si="10"/>
        <v/>
      </c>
    </row>
    <row r="171" spans="2:34">
      <c r="B171" s="9">
        <f t="shared" si="9"/>
        <v>154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3"/>
      <c r="AG171" s="2"/>
      <c r="AH171" s="1" t="str">
        <f t="shared" si="10"/>
        <v/>
      </c>
    </row>
    <row r="172" spans="2:34">
      <c r="B172" s="9">
        <f t="shared" si="9"/>
        <v>155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3"/>
      <c r="AG172" s="2"/>
      <c r="AH172" s="1" t="str">
        <f t="shared" si="10"/>
        <v/>
      </c>
    </row>
    <row r="173" spans="2:34">
      <c r="B173" s="9">
        <f t="shared" si="9"/>
        <v>156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3"/>
      <c r="AG173" s="2"/>
      <c r="AH173" s="1" t="str">
        <f t="shared" si="10"/>
        <v/>
      </c>
    </row>
    <row r="174" spans="2:34">
      <c r="B174" s="9">
        <f t="shared" si="9"/>
        <v>157</v>
      </c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3"/>
      <c r="AG174" s="2"/>
      <c r="AH174" s="1" t="str">
        <f t="shared" si="10"/>
        <v/>
      </c>
    </row>
    <row r="175" spans="2:34">
      <c r="B175" s="9">
        <f t="shared" si="9"/>
        <v>158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3"/>
      <c r="AG175" s="2"/>
      <c r="AH175" s="1" t="str">
        <f t="shared" si="10"/>
        <v/>
      </c>
    </row>
    <row r="176" spans="2:34">
      <c r="B176" s="9">
        <f t="shared" si="9"/>
        <v>159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3"/>
      <c r="AG176" s="2"/>
      <c r="AH176" s="1" t="str">
        <f t="shared" si="10"/>
        <v/>
      </c>
    </row>
    <row r="177" spans="2:34">
      <c r="B177" s="9">
        <f t="shared" si="9"/>
        <v>160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3"/>
      <c r="AG177" s="2"/>
      <c r="AH177" s="1" t="str">
        <f t="shared" si="10"/>
        <v/>
      </c>
    </row>
    <row r="178" spans="2:34">
      <c r="B178" s="9">
        <f t="shared" si="9"/>
        <v>161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3"/>
      <c r="AG178" s="2"/>
      <c r="AH178" s="1" t="str">
        <f t="shared" si="10"/>
        <v/>
      </c>
    </row>
    <row r="179" spans="2:34">
      <c r="B179" s="9">
        <f t="shared" si="9"/>
        <v>162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3"/>
      <c r="AG179" s="2"/>
      <c r="AH179" s="1" t="str">
        <f t="shared" si="10"/>
        <v/>
      </c>
    </row>
    <row r="180" spans="2:34">
      <c r="B180" s="9">
        <f t="shared" si="9"/>
        <v>163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3"/>
      <c r="AG180" s="2"/>
      <c r="AH180" s="1" t="str">
        <f t="shared" si="10"/>
        <v/>
      </c>
    </row>
    <row r="181" spans="2:34">
      <c r="B181" s="9">
        <f t="shared" si="9"/>
        <v>164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3"/>
      <c r="AG181" s="2"/>
      <c r="AH181" s="1" t="str">
        <f t="shared" si="10"/>
        <v/>
      </c>
    </row>
    <row r="182" spans="2:34">
      <c r="B182" s="9">
        <f t="shared" si="9"/>
        <v>165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3"/>
      <c r="AG182" s="2"/>
      <c r="AH182" s="1" t="str">
        <f t="shared" si="10"/>
        <v/>
      </c>
    </row>
    <row r="183" spans="2:34">
      <c r="B183" s="9">
        <f t="shared" si="9"/>
        <v>166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3"/>
      <c r="AG183" s="2"/>
      <c r="AH183" s="1" t="str">
        <f t="shared" si="10"/>
        <v/>
      </c>
    </row>
    <row r="184" spans="2:34">
      <c r="B184" s="9">
        <f t="shared" si="9"/>
        <v>167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3"/>
      <c r="AG184" s="2"/>
      <c r="AH184" s="1" t="str">
        <f t="shared" si="10"/>
        <v/>
      </c>
    </row>
    <row r="185" spans="2:34">
      <c r="B185" s="9">
        <f t="shared" si="9"/>
        <v>168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3"/>
      <c r="AG185" s="2"/>
      <c r="AH185" s="1" t="str">
        <f t="shared" si="10"/>
        <v/>
      </c>
    </row>
    <row r="186" spans="2:34">
      <c r="B186" s="9">
        <f t="shared" si="9"/>
        <v>169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3"/>
      <c r="AG186" s="2"/>
      <c r="AH186" s="1" t="str">
        <f t="shared" si="10"/>
        <v/>
      </c>
    </row>
    <row r="187" spans="2:34">
      <c r="B187" s="9">
        <f t="shared" si="9"/>
        <v>170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3"/>
      <c r="AG187" s="2"/>
      <c r="AH187" s="1" t="str">
        <f t="shared" si="10"/>
        <v/>
      </c>
    </row>
    <row r="188" spans="2:34">
      <c r="B188" s="9">
        <f t="shared" si="9"/>
        <v>171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3"/>
      <c r="AG188" s="2"/>
      <c r="AH188" s="1" t="str">
        <f t="shared" si="10"/>
        <v/>
      </c>
    </row>
    <row r="189" spans="2:34">
      <c r="B189" s="9">
        <f t="shared" si="9"/>
        <v>172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3"/>
      <c r="AG189" s="2"/>
      <c r="AH189" s="1" t="str">
        <f t="shared" si="10"/>
        <v/>
      </c>
    </row>
    <row r="190" spans="2:34">
      <c r="B190" s="9">
        <f t="shared" si="9"/>
        <v>173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3"/>
      <c r="AG190" s="2"/>
      <c r="AH190" s="1" t="str">
        <f t="shared" si="10"/>
        <v/>
      </c>
    </row>
    <row r="191" spans="2:34">
      <c r="B191" s="9">
        <f t="shared" si="9"/>
        <v>174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3"/>
      <c r="AG191" s="2"/>
      <c r="AH191" s="1" t="str">
        <f t="shared" si="10"/>
        <v/>
      </c>
    </row>
    <row r="192" spans="2:34">
      <c r="B192" s="9">
        <f t="shared" si="9"/>
        <v>175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3"/>
      <c r="AG192" s="2"/>
      <c r="AH192" s="1" t="str">
        <f t="shared" si="10"/>
        <v/>
      </c>
    </row>
    <row r="193" spans="2:34">
      <c r="B193" s="9">
        <f t="shared" si="9"/>
        <v>176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3"/>
      <c r="AG193" s="2"/>
      <c r="AH193" s="1" t="str">
        <f t="shared" si="10"/>
        <v/>
      </c>
    </row>
    <row r="194" spans="2:34">
      <c r="B194" s="9">
        <f t="shared" si="9"/>
        <v>177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3"/>
      <c r="AG194" s="2"/>
      <c r="AH194" s="1" t="str">
        <f t="shared" si="10"/>
        <v/>
      </c>
    </row>
    <row r="195" spans="2:34">
      <c r="B195" s="9">
        <f t="shared" si="9"/>
        <v>178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3"/>
      <c r="AG195" s="2"/>
      <c r="AH195" s="1" t="str">
        <f t="shared" si="10"/>
        <v/>
      </c>
    </row>
    <row r="196" spans="2:34">
      <c r="B196" s="9">
        <f t="shared" si="9"/>
        <v>179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3"/>
      <c r="AG196" s="2"/>
      <c r="AH196" s="1" t="str">
        <f t="shared" si="10"/>
        <v/>
      </c>
    </row>
    <row r="197" spans="2:34">
      <c r="B197" s="9">
        <f t="shared" si="9"/>
        <v>180</v>
      </c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3"/>
      <c r="AG197" s="2"/>
      <c r="AH197" s="1" t="str">
        <f t="shared" si="10"/>
        <v/>
      </c>
    </row>
    <row r="198" spans="2:34">
      <c r="B198" s="9">
        <f t="shared" si="9"/>
        <v>181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3"/>
      <c r="AG198" s="2"/>
      <c r="AH198" s="1" t="str">
        <f t="shared" si="10"/>
        <v/>
      </c>
    </row>
    <row r="199" spans="2:34">
      <c r="B199" s="9">
        <f t="shared" si="9"/>
        <v>182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3"/>
      <c r="AG199" s="2"/>
      <c r="AH199" s="1" t="str">
        <f t="shared" si="10"/>
        <v/>
      </c>
    </row>
    <row r="200" spans="2:34">
      <c r="B200" s="9">
        <f t="shared" si="9"/>
        <v>183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3"/>
      <c r="AG200" s="2"/>
      <c r="AH200" s="1" t="str">
        <f t="shared" si="10"/>
        <v/>
      </c>
    </row>
    <row r="201" spans="2:34">
      <c r="B201" s="9">
        <f t="shared" si="9"/>
        <v>184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3"/>
      <c r="AG201" s="2"/>
      <c r="AH201" s="1" t="str">
        <f t="shared" si="10"/>
        <v/>
      </c>
    </row>
    <row r="202" spans="2:34">
      <c r="B202" s="9">
        <f t="shared" si="9"/>
        <v>185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3"/>
      <c r="AG202" s="2"/>
      <c r="AH202" s="1" t="str">
        <f t="shared" si="10"/>
        <v/>
      </c>
    </row>
    <row r="203" spans="2:34">
      <c r="B203" s="9">
        <f t="shared" si="9"/>
        <v>186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3"/>
      <c r="AG203" s="2"/>
      <c r="AH203" s="1" t="str">
        <f t="shared" si="10"/>
        <v/>
      </c>
    </row>
    <row r="204" spans="2:34">
      <c r="B204" s="9">
        <f t="shared" si="9"/>
        <v>187</v>
      </c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3"/>
      <c r="AG204" s="2"/>
      <c r="AH204" s="1" t="str">
        <f t="shared" si="10"/>
        <v/>
      </c>
    </row>
    <row r="205" spans="2:34">
      <c r="B205" s="9">
        <f t="shared" si="9"/>
        <v>188</v>
      </c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3"/>
      <c r="AG205" s="2"/>
      <c r="AH205" s="1" t="str">
        <f t="shared" si="10"/>
        <v/>
      </c>
    </row>
    <row r="206" spans="2:34">
      <c r="B206" s="9">
        <f t="shared" si="9"/>
        <v>189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3"/>
      <c r="AG206" s="2"/>
      <c r="AH206" s="1" t="str">
        <f t="shared" si="10"/>
        <v/>
      </c>
    </row>
    <row r="207" spans="2:34">
      <c r="B207" s="9">
        <f t="shared" si="9"/>
        <v>190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3"/>
      <c r="AG207" s="2"/>
      <c r="AH207" s="1" t="str">
        <f t="shared" si="10"/>
        <v/>
      </c>
    </row>
    <row r="208" spans="2:34">
      <c r="B208" s="9">
        <f t="shared" si="9"/>
        <v>191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3"/>
      <c r="AG208" s="2"/>
      <c r="AH208" s="1" t="str">
        <f t="shared" si="10"/>
        <v/>
      </c>
    </row>
    <row r="209" spans="2:34">
      <c r="B209" s="9">
        <f t="shared" si="9"/>
        <v>192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3"/>
      <c r="AG209" s="2"/>
      <c r="AH209" s="1" t="str">
        <f t="shared" si="10"/>
        <v/>
      </c>
    </row>
    <row r="210" spans="2:34">
      <c r="B210" s="9">
        <f t="shared" si="9"/>
        <v>193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3"/>
      <c r="AG210" s="2"/>
      <c r="AH210" s="1" t="str">
        <f t="shared" si="10"/>
        <v/>
      </c>
    </row>
    <row r="211" spans="2:34">
      <c r="B211" s="9">
        <f t="shared" ref="B211:B274" si="11">ROW()-ROW(B$17)</f>
        <v>194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3"/>
      <c r="AG211" s="2"/>
      <c r="AH211" s="1" t="str">
        <f t="shared" ref="AH211:AH274" si="12">IF(COUNT(C211:AC211)&gt;0,B211,"")</f>
        <v/>
      </c>
    </row>
    <row r="212" spans="2:34">
      <c r="B212" s="9">
        <f t="shared" si="11"/>
        <v>195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3"/>
      <c r="AG212" s="2"/>
      <c r="AH212" s="1" t="str">
        <f t="shared" si="12"/>
        <v/>
      </c>
    </row>
    <row r="213" spans="2:34">
      <c r="B213" s="9">
        <f t="shared" si="11"/>
        <v>196</v>
      </c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3"/>
      <c r="AG213" s="2"/>
      <c r="AH213" s="1" t="str">
        <f t="shared" si="12"/>
        <v/>
      </c>
    </row>
    <row r="214" spans="2:34">
      <c r="B214" s="9">
        <f t="shared" si="11"/>
        <v>197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3"/>
      <c r="AG214" s="2"/>
      <c r="AH214" s="1" t="str">
        <f t="shared" si="12"/>
        <v/>
      </c>
    </row>
    <row r="215" spans="2:34">
      <c r="B215" s="9">
        <f t="shared" si="11"/>
        <v>198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3"/>
      <c r="AG215" s="2"/>
      <c r="AH215" s="1" t="str">
        <f t="shared" si="12"/>
        <v/>
      </c>
    </row>
    <row r="216" spans="2:34">
      <c r="B216" s="9">
        <f t="shared" si="11"/>
        <v>199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3"/>
      <c r="AG216" s="2"/>
      <c r="AH216" s="1" t="str">
        <f t="shared" si="12"/>
        <v/>
      </c>
    </row>
    <row r="217" spans="2:34">
      <c r="B217" s="9">
        <f t="shared" si="11"/>
        <v>200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3"/>
      <c r="AG217" s="2"/>
      <c r="AH217" s="1" t="str">
        <f t="shared" si="12"/>
        <v/>
      </c>
    </row>
    <row r="218" spans="2:34">
      <c r="B218" s="9">
        <f t="shared" si="11"/>
        <v>201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3"/>
      <c r="AG218" s="2"/>
      <c r="AH218" s="1" t="str">
        <f t="shared" si="12"/>
        <v/>
      </c>
    </row>
    <row r="219" spans="2:34">
      <c r="B219" s="9">
        <f t="shared" si="11"/>
        <v>202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3"/>
      <c r="AG219" s="2"/>
      <c r="AH219" s="1" t="str">
        <f t="shared" si="12"/>
        <v/>
      </c>
    </row>
    <row r="220" spans="2:34">
      <c r="B220" s="9">
        <f t="shared" si="11"/>
        <v>203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3"/>
      <c r="AG220" s="2"/>
      <c r="AH220" s="1" t="str">
        <f t="shared" si="12"/>
        <v/>
      </c>
    </row>
    <row r="221" spans="2:34">
      <c r="B221" s="9">
        <f t="shared" si="11"/>
        <v>204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3"/>
      <c r="AG221" s="2"/>
      <c r="AH221" s="1" t="str">
        <f t="shared" si="12"/>
        <v/>
      </c>
    </row>
    <row r="222" spans="2:34">
      <c r="B222" s="9">
        <f t="shared" si="11"/>
        <v>205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3"/>
      <c r="AG222" s="2"/>
      <c r="AH222" s="1" t="str">
        <f t="shared" si="12"/>
        <v/>
      </c>
    </row>
    <row r="223" spans="2:34">
      <c r="B223" s="9">
        <f t="shared" si="11"/>
        <v>206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3"/>
      <c r="AG223" s="2"/>
      <c r="AH223" s="1" t="str">
        <f t="shared" si="12"/>
        <v/>
      </c>
    </row>
    <row r="224" spans="2:34">
      <c r="B224" s="9">
        <f t="shared" si="11"/>
        <v>207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3"/>
      <c r="AG224" s="2"/>
      <c r="AH224" s="1" t="str">
        <f t="shared" si="12"/>
        <v/>
      </c>
    </row>
    <row r="225" spans="2:34">
      <c r="B225" s="9">
        <f t="shared" si="11"/>
        <v>208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3"/>
      <c r="AG225" s="2"/>
      <c r="AH225" s="1" t="str">
        <f t="shared" si="12"/>
        <v/>
      </c>
    </row>
    <row r="226" spans="2:34">
      <c r="B226" s="9">
        <f t="shared" si="11"/>
        <v>209</v>
      </c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3"/>
      <c r="AG226" s="2"/>
      <c r="AH226" s="1" t="str">
        <f t="shared" si="12"/>
        <v/>
      </c>
    </row>
    <row r="227" spans="2:34">
      <c r="B227" s="9">
        <f t="shared" si="11"/>
        <v>210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3"/>
      <c r="AG227" s="2"/>
      <c r="AH227" s="1" t="str">
        <f t="shared" si="12"/>
        <v/>
      </c>
    </row>
    <row r="228" spans="2:34">
      <c r="B228" s="9">
        <f t="shared" si="11"/>
        <v>211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3"/>
      <c r="AG228" s="2"/>
      <c r="AH228" s="1" t="str">
        <f t="shared" si="12"/>
        <v/>
      </c>
    </row>
    <row r="229" spans="2:34">
      <c r="B229" s="9">
        <f t="shared" si="11"/>
        <v>212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3"/>
      <c r="AG229" s="2"/>
      <c r="AH229" s="1" t="str">
        <f t="shared" si="12"/>
        <v/>
      </c>
    </row>
    <row r="230" spans="2:34">
      <c r="B230" s="9">
        <f t="shared" si="11"/>
        <v>213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3"/>
      <c r="AG230" s="2"/>
      <c r="AH230" s="1" t="str">
        <f t="shared" si="12"/>
        <v/>
      </c>
    </row>
    <row r="231" spans="2:34">
      <c r="B231" s="9">
        <f t="shared" si="11"/>
        <v>214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3"/>
      <c r="AG231" s="2"/>
      <c r="AH231" s="1" t="str">
        <f t="shared" si="12"/>
        <v/>
      </c>
    </row>
    <row r="232" spans="2:34">
      <c r="B232" s="9">
        <f t="shared" si="11"/>
        <v>215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3"/>
      <c r="AG232" s="2"/>
      <c r="AH232" s="1" t="str">
        <f t="shared" si="12"/>
        <v/>
      </c>
    </row>
    <row r="233" spans="2:34">
      <c r="B233" s="9">
        <f t="shared" si="11"/>
        <v>216</v>
      </c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3"/>
      <c r="AG233" s="2"/>
      <c r="AH233" s="1" t="str">
        <f t="shared" si="12"/>
        <v/>
      </c>
    </row>
    <row r="234" spans="2:34">
      <c r="B234" s="9">
        <f t="shared" si="11"/>
        <v>217</v>
      </c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3"/>
      <c r="AG234" s="2"/>
      <c r="AH234" s="1" t="str">
        <f t="shared" si="12"/>
        <v/>
      </c>
    </row>
    <row r="235" spans="2:34">
      <c r="B235" s="9">
        <f t="shared" si="11"/>
        <v>218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3"/>
      <c r="AG235" s="2"/>
      <c r="AH235" s="1" t="str">
        <f t="shared" si="12"/>
        <v/>
      </c>
    </row>
    <row r="236" spans="2:34">
      <c r="B236" s="9">
        <f t="shared" si="11"/>
        <v>219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3"/>
      <c r="AG236" s="2"/>
      <c r="AH236" s="1" t="str">
        <f t="shared" si="12"/>
        <v/>
      </c>
    </row>
    <row r="237" spans="2:34">
      <c r="B237" s="9">
        <f t="shared" si="11"/>
        <v>220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3"/>
      <c r="AG237" s="2"/>
      <c r="AH237" s="1" t="str">
        <f t="shared" si="12"/>
        <v/>
      </c>
    </row>
    <row r="238" spans="2:34">
      <c r="B238" s="9">
        <f t="shared" si="11"/>
        <v>221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3"/>
      <c r="AG238" s="2"/>
      <c r="AH238" s="1" t="str">
        <f t="shared" si="12"/>
        <v/>
      </c>
    </row>
    <row r="239" spans="2:34">
      <c r="B239" s="9">
        <f t="shared" si="11"/>
        <v>222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3"/>
      <c r="AG239" s="2"/>
      <c r="AH239" s="1" t="str">
        <f t="shared" si="12"/>
        <v/>
      </c>
    </row>
    <row r="240" spans="2:34">
      <c r="B240" s="9">
        <f t="shared" si="11"/>
        <v>223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3"/>
      <c r="AG240" s="2"/>
      <c r="AH240" s="1" t="str">
        <f t="shared" si="12"/>
        <v/>
      </c>
    </row>
    <row r="241" spans="2:34">
      <c r="B241" s="9">
        <f t="shared" si="11"/>
        <v>224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3"/>
      <c r="AG241" s="2"/>
      <c r="AH241" s="1" t="str">
        <f t="shared" si="12"/>
        <v/>
      </c>
    </row>
    <row r="242" spans="2:34">
      <c r="B242" s="9">
        <f t="shared" si="11"/>
        <v>225</v>
      </c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3"/>
      <c r="AG242" s="2"/>
      <c r="AH242" s="1" t="str">
        <f t="shared" si="12"/>
        <v/>
      </c>
    </row>
    <row r="243" spans="2:34">
      <c r="B243" s="9">
        <f t="shared" si="11"/>
        <v>226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3"/>
      <c r="AG243" s="2"/>
      <c r="AH243" s="1" t="str">
        <f t="shared" si="12"/>
        <v/>
      </c>
    </row>
    <row r="244" spans="2:34">
      <c r="B244" s="9">
        <f t="shared" si="11"/>
        <v>227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3"/>
      <c r="AG244" s="2"/>
      <c r="AH244" s="1" t="str">
        <f t="shared" si="12"/>
        <v/>
      </c>
    </row>
    <row r="245" spans="2:34">
      <c r="B245" s="9">
        <f t="shared" si="11"/>
        <v>228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3"/>
      <c r="AG245" s="2"/>
      <c r="AH245" s="1" t="str">
        <f t="shared" si="12"/>
        <v/>
      </c>
    </row>
    <row r="246" spans="2:34">
      <c r="B246" s="9">
        <f t="shared" si="11"/>
        <v>229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3"/>
      <c r="AG246" s="2"/>
      <c r="AH246" s="1" t="str">
        <f t="shared" si="12"/>
        <v/>
      </c>
    </row>
    <row r="247" spans="2:34">
      <c r="B247" s="9">
        <f t="shared" si="11"/>
        <v>230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3"/>
      <c r="AG247" s="2"/>
      <c r="AH247" s="1" t="str">
        <f t="shared" si="12"/>
        <v/>
      </c>
    </row>
    <row r="248" spans="2:34">
      <c r="B248" s="9">
        <f t="shared" si="11"/>
        <v>231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3"/>
      <c r="AG248" s="2"/>
      <c r="AH248" s="1" t="str">
        <f t="shared" si="12"/>
        <v/>
      </c>
    </row>
    <row r="249" spans="2:34">
      <c r="B249" s="9">
        <f t="shared" si="11"/>
        <v>232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3"/>
      <c r="AG249" s="2"/>
      <c r="AH249" s="1" t="str">
        <f t="shared" si="12"/>
        <v/>
      </c>
    </row>
    <row r="250" spans="2:34">
      <c r="B250" s="9">
        <f t="shared" si="11"/>
        <v>233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3"/>
      <c r="AG250" s="2"/>
      <c r="AH250" s="1" t="str">
        <f t="shared" si="12"/>
        <v/>
      </c>
    </row>
    <row r="251" spans="2:34">
      <c r="B251" s="9">
        <f t="shared" si="11"/>
        <v>234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3"/>
      <c r="AG251" s="2"/>
      <c r="AH251" s="1" t="str">
        <f t="shared" si="12"/>
        <v/>
      </c>
    </row>
    <row r="252" spans="2:34">
      <c r="B252" s="9">
        <f t="shared" si="11"/>
        <v>235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3"/>
      <c r="AG252" s="2"/>
      <c r="AH252" s="1" t="str">
        <f t="shared" si="12"/>
        <v/>
      </c>
    </row>
    <row r="253" spans="2:34">
      <c r="B253" s="9">
        <f t="shared" si="11"/>
        <v>236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3"/>
      <c r="AG253" s="2"/>
      <c r="AH253" s="1" t="str">
        <f t="shared" si="12"/>
        <v/>
      </c>
    </row>
    <row r="254" spans="2:34">
      <c r="B254" s="9">
        <f t="shared" si="11"/>
        <v>237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3"/>
      <c r="AG254" s="2"/>
      <c r="AH254" s="1" t="str">
        <f t="shared" si="12"/>
        <v/>
      </c>
    </row>
    <row r="255" spans="2:34">
      <c r="B255" s="9">
        <f t="shared" si="11"/>
        <v>238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3"/>
      <c r="AG255" s="2"/>
      <c r="AH255" s="1" t="str">
        <f t="shared" si="12"/>
        <v/>
      </c>
    </row>
    <row r="256" spans="2:34">
      <c r="B256" s="9">
        <f t="shared" si="11"/>
        <v>239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3"/>
      <c r="AG256" s="2"/>
      <c r="AH256" s="1" t="str">
        <f t="shared" si="12"/>
        <v/>
      </c>
    </row>
    <row r="257" spans="2:34">
      <c r="B257" s="9">
        <f t="shared" si="11"/>
        <v>240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3"/>
      <c r="AG257" s="2"/>
      <c r="AH257" s="1" t="str">
        <f t="shared" si="12"/>
        <v/>
      </c>
    </row>
    <row r="258" spans="2:34">
      <c r="B258" s="9">
        <f t="shared" si="11"/>
        <v>241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3"/>
      <c r="AG258" s="2"/>
      <c r="AH258" s="1" t="str">
        <f t="shared" si="12"/>
        <v/>
      </c>
    </row>
    <row r="259" spans="2:34">
      <c r="B259" s="9">
        <f t="shared" si="11"/>
        <v>242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3"/>
      <c r="AG259" s="2"/>
      <c r="AH259" s="1" t="str">
        <f t="shared" si="12"/>
        <v/>
      </c>
    </row>
    <row r="260" spans="2:34">
      <c r="B260" s="9">
        <f t="shared" si="11"/>
        <v>243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3"/>
      <c r="AG260" s="2"/>
      <c r="AH260" s="1" t="str">
        <f t="shared" si="12"/>
        <v/>
      </c>
    </row>
    <row r="261" spans="2:34">
      <c r="B261" s="9">
        <f t="shared" si="11"/>
        <v>244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3"/>
      <c r="AG261" s="2"/>
      <c r="AH261" s="1" t="str">
        <f t="shared" si="12"/>
        <v/>
      </c>
    </row>
    <row r="262" spans="2:34">
      <c r="B262" s="9">
        <f t="shared" si="11"/>
        <v>245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3"/>
      <c r="AG262" s="2"/>
      <c r="AH262" s="1" t="str">
        <f t="shared" si="12"/>
        <v/>
      </c>
    </row>
    <row r="263" spans="2:34">
      <c r="B263" s="9">
        <f t="shared" si="11"/>
        <v>246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3"/>
      <c r="AG263" s="2"/>
      <c r="AH263" s="1" t="str">
        <f t="shared" si="12"/>
        <v/>
      </c>
    </row>
    <row r="264" spans="2:34">
      <c r="B264" s="9">
        <f t="shared" si="11"/>
        <v>247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3"/>
      <c r="AG264" s="2"/>
      <c r="AH264" s="1" t="str">
        <f t="shared" si="12"/>
        <v/>
      </c>
    </row>
    <row r="265" spans="2:34">
      <c r="B265" s="9">
        <f t="shared" si="11"/>
        <v>248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3"/>
      <c r="AG265" s="2"/>
      <c r="AH265" s="1" t="str">
        <f t="shared" si="12"/>
        <v/>
      </c>
    </row>
    <row r="266" spans="2:34">
      <c r="B266" s="9">
        <f t="shared" si="11"/>
        <v>249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3"/>
      <c r="AG266" s="2"/>
      <c r="AH266" s="1" t="str">
        <f t="shared" si="12"/>
        <v/>
      </c>
    </row>
    <row r="267" spans="2:34">
      <c r="B267" s="9">
        <f t="shared" si="11"/>
        <v>250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3"/>
      <c r="AG267" s="2"/>
      <c r="AH267" s="1" t="str">
        <f t="shared" si="12"/>
        <v/>
      </c>
    </row>
    <row r="268" spans="2:34">
      <c r="B268" s="9">
        <f t="shared" si="11"/>
        <v>251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3"/>
      <c r="AG268" s="2"/>
      <c r="AH268" s="1" t="str">
        <f t="shared" si="12"/>
        <v/>
      </c>
    </row>
    <row r="269" spans="2:34">
      <c r="B269" s="9">
        <f t="shared" si="11"/>
        <v>252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3"/>
      <c r="AG269" s="2"/>
      <c r="AH269" s="1" t="str">
        <f t="shared" si="12"/>
        <v/>
      </c>
    </row>
    <row r="270" spans="2:34">
      <c r="B270" s="9">
        <f t="shared" si="11"/>
        <v>253</v>
      </c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3"/>
      <c r="AG270" s="2"/>
      <c r="AH270" s="1" t="str">
        <f t="shared" si="12"/>
        <v/>
      </c>
    </row>
    <row r="271" spans="2:34">
      <c r="B271" s="9">
        <f t="shared" si="11"/>
        <v>254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3"/>
      <c r="AG271" s="2"/>
      <c r="AH271" s="1" t="str">
        <f t="shared" si="12"/>
        <v/>
      </c>
    </row>
    <row r="272" spans="2:34">
      <c r="B272" s="9">
        <f t="shared" si="11"/>
        <v>255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3"/>
      <c r="AG272" s="2"/>
      <c r="AH272" s="1" t="str">
        <f t="shared" si="12"/>
        <v/>
      </c>
    </row>
    <row r="273" spans="2:34">
      <c r="B273" s="9">
        <f t="shared" si="11"/>
        <v>256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3"/>
      <c r="AG273" s="2"/>
      <c r="AH273" s="1" t="str">
        <f t="shared" si="12"/>
        <v/>
      </c>
    </row>
    <row r="274" spans="2:34">
      <c r="B274" s="9">
        <f t="shared" si="11"/>
        <v>257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3"/>
      <c r="AG274" s="2"/>
      <c r="AH274" s="1" t="str">
        <f t="shared" si="12"/>
        <v/>
      </c>
    </row>
    <row r="275" spans="2:34">
      <c r="B275" s="9">
        <f t="shared" ref="B275:B338" si="13">ROW()-ROW(B$17)</f>
        <v>258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3"/>
      <c r="AG275" s="2"/>
      <c r="AH275" s="1" t="str">
        <f t="shared" ref="AH275:AH338" si="14">IF(COUNT(C275:AC275)&gt;0,B275,"")</f>
        <v/>
      </c>
    </row>
    <row r="276" spans="2:34">
      <c r="B276" s="9">
        <f t="shared" si="13"/>
        <v>259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3"/>
      <c r="AG276" s="2"/>
      <c r="AH276" s="1" t="str">
        <f t="shared" si="14"/>
        <v/>
      </c>
    </row>
    <row r="277" spans="2:34">
      <c r="B277" s="9">
        <f t="shared" si="13"/>
        <v>260</v>
      </c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3"/>
      <c r="AG277" s="2"/>
      <c r="AH277" s="1" t="str">
        <f t="shared" si="14"/>
        <v/>
      </c>
    </row>
    <row r="278" spans="2:34">
      <c r="B278" s="9">
        <f t="shared" si="13"/>
        <v>261</v>
      </c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3"/>
      <c r="AG278" s="2"/>
      <c r="AH278" s="1" t="str">
        <f t="shared" si="14"/>
        <v/>
      </c>
    </row>
    <row r="279" spans="2:34">
      <c r="B279" s="9">
        <f t="shared" si="13"/>
        <v>262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3"/>
      <c r="AG279" s="2"/>
      <c r="AH279" s="1" t="str">
        <f t="shared" si="14"/>
        <v/>
      </c>
    </row>
    <row r="280" spans="2:34">
      <c r="B280" s="9">
        <f t="shared" si="13"/>
        <v>263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3"/>
      <c r="AG280" s="2"/>
      <c r="AH280" s="1" t="str">
        <f t="shared" si="14"/>
        <v/>
      </c>
    </row>
    <row r="281" spans="2:34">
      <c r="B281" s="9">
        <f t="shared" si="13"/>
        <v>264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3"/>
      <c r="AG281" s="2"/>
      <c r="AH281" s="1" t="str">
        <f t="shared" si="14"/>
        <v/>
      </c>
    </row>
    <row r="282" spans="2:34">
      <c r="B282" s="9">
        <f t="shared" si="13"/>
        <v>265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3"/>
      <c r="AG282" s="2"/>
      <c r="AH282" s="1" t="str">
        <f t="shared" si="14"/>
        <v/>
      </c>
    </row>
    <row r="283" spans="2:34">
      <c r="B283" s="9">
        <f t="shared" si="13"/>
        <v>266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3"/>
      <c r="AG283" s="2"/>
      <c r="AH283" s="1" t="str">
        <f t="shared" si="14"/>
        <v/>
      </c>
    </row>
    <row r="284" spans="2:34">
      <c r="B284" s="9">
        <f t="shared" si="13"/>
        <v>267</v>
      </c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3"/>
      <c r="AG284" s="2"/>
      <c r="AH284" s="1" t="str">
        <f t="shared" si="14"/>
        <v/>
      </c>
    </row>
    <row r="285" spans="2:34">
      <c r="B285" s="9">
        <f t="shared" si="13"/>
        <v>268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3"/>
      <c r="AG285" s="2"/>
      <c r="AH285" s="1" t="str">
        <f t="shared" si="14"/>
        <v/>
      </c>
    </row>
    <row r="286" spans="2:34">
      <c r="B286" s="9">
        <f t="shared" si="13"/>
        <v>269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3"/>
      <c r="AG286" s="2"/>
      <c r="AH286" s="1" t="str">
        <f t="shared" si="14"/>
        <v/>
      </c>
    </row>
    <row r="287" spans="2:34">
      <c r="B287" s="9">
        <f t="shared" si="13"/>
        <v>270</v>
      </c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3"/>
      <c r="AG287" s="2"/>
      <c r="AH287" s="1" t="str">
        <f t="shared" si="14"/>
        <v/>
      </c>
    </row>
    <row r="288" spans="2:34">
      <c r="B288" s="9">
        <f t="shared" si="13"/>
        <v>271</v>
      </c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3"/>
      <c r="AG288" s="2"/>
      <c r="AH288" s="1" t="str">
        <f t="shared" si="14"/>
        <v/>
      </c>
    </row>
    <row r="289" spans="2:34">
      <c r="B289" s="9">
        <f t="shared" si="13"/>
        <v>272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3"/>
      <c r="AG289" s="2"/>
      <c r="AH289" s="1" t="str">
        <f t="shared" si="14"/>
        <v/>
      </c>
    </row>
    <row r="290" spans="2:34">
      <c r="B290" s="9">
        <f t="shared" si="13"/>
        <v>273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3"/>
      <c r="AG290" s="2"/>
      <c r="AH290" s="1" t="str">
        <f t="shared" si="14"/>
        <v/>
      </c>
    </row>
    <row r="291" spans="2:34">
      <c r="B291" s="9">
        <f t="shared" si="13"/>
        <v>274</v>
      </c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3"/>
      <c r="AG291" s="2"/>
      <c r="AH291" s="1" t="str">
        <f t="shared" si="14"/>
        <v/>
      </c>
    </row>
    <row r="292" spans="2:34">
      <c r="B292" s="9">
        <f t="shared" si="13"/>
        <v>275</v>
      </c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3"/>
      <c r="AG292" s="2"/>
      <c r="AH292" s="1" t="str">
        <f t="shared" si="14"/>
        <v/>
      </c>
    </row>
    <row r="293" spans="2:34">
      <c r="B293" s="9">
        <f t="shared" si="13"/>
        <v>276</v>
      </c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3"/>
      <c r="AG293" s="2"/>
      <c r="AH293" s="1" t="str">
        <f t="shared" si="14"/>
        <v/>
      </c>
    </row>
    <row r="294" spans="2:34">
      <c r="B294" s="9">
        <f t="shared" si="13"/>
        <v>277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3"/>
      <c r="AG294" s="2"/>
      <c r="AH294" s="1" t="str">
        <f t="shared" si="14"/>
        <v/>
      </c>
    </row>
    <row r="295" spans="2:34">
      <c r="B295" s="9">
        <f t="shared" si="13"/>
        <v>278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3"/>
      <c r="AG295" s="2"/>
      <c r="AH295" s="1" t="str">
        <f t="shared" si="14"/>
        <v/>
      </c>
    </row>
    <row r="296" spans="2:34">
      <c r="B296" s="9">
        <f t="shared" si="13"/>
        <v>279</v>
      </c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3"/>
      <c r="AG296" s="2"/>
      <c r="AH296" s="1" t="str">
        <f t="shared" si="14"/>
        <v/>
      </c>
    </row>
    <row r="297" spans="2:34">
      <c r="B297" s="9">
        <f t="shared" si="13"/>
        <v>280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3"/>
      <c r="AG297" s="2"/>
      <c r="AH297" s="1" t="str">
        <f t="shared" si="14"/>
        <v/>
      </c>
    </row>
    <row r="298" spans="2:34">
      <c r="B298" s="9">
        <f t="shared" si="13"/>
        <v>281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3"/>
      <c r="AG298" s="2"/>
      <c r="AH298" s="1" t="str">
        <f t="shared" si="14"/>
        <v/>
      </c>
    </row>
    <row r="299" spans="2:34">
      <c r="B299" s="9">
        <f t="shared" si="13"/>
        <v>282</v>
      </c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3"/>
      <c r="AG299" s="2"/>
      <c r="AH299" s="1" t="str">
        <f t="shared" si="14"/>
        <v/>
      </c>
    </row>
    <row r="300" spans="2:34">
      <c r="B300" s="9">
        <f t="shared" si="13"/>
        <v>283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3"/>
      <c r="AG300" s="2"/>
      <c r="AH300" s="1" t="str">
        <f t="shared" si="14"/>
        <v/>
      </c>
    </row>
    <row r="301" spans="2:34">
      <c r="B301" s="9">
        <f t="shared" si="13"/>
        <v>284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3"/>
      <c r="AG301" s="2"/>
      <c r="AH301" s="1" t="str">
        <f t="shared" si="14"/>
        <v/>
      </c>
    </row>
    <row r="302" spans="2:34">
      <c r="B302" s="9">
        <f t="shared" si="13"/>
        <v>285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3"/>
      <c r="AG302" s="2"/>
      <c r="AH302" s="1" t="str">
        <f t="shared" si="14"/>
        <v/>
      </c>
    </row>
    <row r="303" spans="2:34">
      <c r="B303" s="9">
        <f t="shared" si="13"/>
        <v>286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3"/>
      <c r="AG303" s="2"/>
      <c r="AH303" s="1" t="str">
        <f t="shared" si="14"/>
        <v/>
      </c>
    </row>
    <row r="304" spans="2:34">
      <c r="B304" s="9">
        <f t="shared" si="13"/>
        <v>287</v>
      </c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3"/>
      <c r="AG304" s="2"/>
      <c r="AH304" s="1" t="str">
        <f t="shared" si="14"/>
        <v/>
      </c>
    </row>
    <row r="305" spans="2:34">
      <c r="B305" s="9">
        <f t="shared" si="13"/>
        <v>288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3"/>
      <c r="AG305" s="2"/>
      <c r="AH305" s="1" t="str">
        <f t="shared" si="14"/>
        <v/>
      </c>
    </row>
    <row r="306" spans="2:34">
      <c r="B306" s="9">
        <f t="shared" si="13"/>
        <v>289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3"/>
      <c r="AG306" s="2"/>
      <c r="AH306" s="1" t="str">
        <f t="shared" si="14"/>
        <v/>
      </c>
    </row>
    <row r="307" spans="2:34">
      <c r="B307" s="9">
        <f t="shared" si="13"/>
        <v>290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3"/>
      <c r="AG307" s="2"/>
      <c r="AH307" s="1" t="str">
        <f t="shared" si="14"/>
        <v/>
      </c>
    </row>
    <row r="308" spans="2:34">
      <c r="B308" s="9">
        <f t="shared" si="13"/>
        <v>291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3"/>
      <c r="AG308" s="2"/>
      <c r="AH308" s="1" t="str">
        <f t="shared" si="14"/>
        <v/>
      </c>
    </row>
    <row r="309" spans="2:34">
      <c r="B309" s="9">
        <f t="shared" si="13"/>
        <v>292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3"/>
      <c r="AG309" s="2"/>
      <c r="AH309" s="1" t="str">
        <f t="shared" si="14"/>
        <v/>
      </c>
    </row>
    <row r="310" spans="2:34">
      <c r="B310" s="9">
        <f t="shared" si="13"/>
        <v>293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3"/>
      <c r="AG310" s="2"/>
      <c r="AH310" s="1" t="str">
        <f t="shared" si="14"/>
        <v/>
      </c>
    </row>
    <row r="311" spans="2:34">
      <c r="B311" s="9">
        <f t="shared" si="13"/>
        <v>294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3"/>
      <c r="AG311" s="2"/>
      <c r="AH311" s="1" t="str">
        <f t="shared" si="14"/>
        <v/>
      </c>
    </row>
    <row r="312" spans="2:34">
      <c r="B312" s="9">
        <f t="shared" si="13"/>
        <v>295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3"/>
      <c r="AG312" s="2"/>
      <c r="AH312" s="1" t="str">
        <f t="shared" si="14"/>
        <v/>
      </c>
    </row>
    <row r="313" spans="2:34">
      <c r="B313" s="9">
        <f t="shared" si="13"/>
        <v>296</v>
      </c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3"/>
      <c r="AG313" s="2"/>
      <c r="AH313" s="1" t="str">
        <f t="shared" si="14"/>
        <v/>
      </c>
    </row>
    <row r="314" spans="2:34">
      <c r="B314" s="9">
        <f t="shared" si="13"/>
        <v>297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3"/>
      <c r="AG314" s="2"/>
      <c r="AH314" s="1" t="str">
        <f t="shared" si="14"/>
        <v/>
      </c>
    </row>
    <row r="315" spans="2:34">
      <c r="B315" s="9">
        <f t="shared" si="13"/>
        <v>298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3"/>
      <c r="AG315" s="2"/>
      <c r="AH315" s="1" t="str">
        <f t="shared" si="14"/>
        <v/>
      </c>
    </row>
    <row r="316" spans="2:34">
      <c r="B316" s="9">
        <f t="shared" si="13"/>
        <v>299</v>
      </c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3"/>
      <c r="AG316" s="2"/>
      <c r="AH316" s="1" t="str">
        <f t="shared" si="14"/>
        <v/>
      </c>
    </row>
    <row r="317" spans="2:34">
      <c r="B317" s="9">
        <f t="shared" si="13"/>
        <v>300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3"/>
      <c r="AG317" s="2"/>
      <c r="AH317" s="1" t="str">
        <f t="shared" si="14"/>
        <v/>
      </c>
    </row>
    <row r="318" spans="2:34">
      <c r="B318" s="9">
        <f t="shared" si="13"/>
        <v>301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3"/>
      <c r="AG318" s="2"/>
      <c r="AH318" s="1" t="str">
        <f t="shared" si="14"/>
        <v/>
      </c>
    </row>
    <row r="319" spans="2:34">
      <c r="B319" s="9">
        <f t="shared" si="13"/>
        <v>302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3"/>
      <c r="AG319" s="2"/>
      <c r="AH319" s="1" t="str">
        <f t="shared" si="14"/>
        <v/>
      </c>
    </row>
    <row r="320" spans="2:34">
      <c r="B320" s="9">
        <f t="shared" si="13"/>
        <v>303</v>
      </c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3"/>
      <c r="AG320" s="2"/>
      <c r="AH320" s="1" t="str">
        <f t="shared" si="14"/>
        <v/>
      </c>
    </row>
    <row r="321" spans="2:34">
      <c r="B321" s="9">
        <f t="shared" si="13"/>
        <v>304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3"/>
      <c r="AG321" s="2"/>
      <c r="AH321" s="1" t="str">
        <f t="shared" si="14"/>
        <v/>
      </c>
    </row>
    <row r="322" spans="2:34">
      <c r="B322" s="9">
        <f t="shared" si="13"/>
        <v>305</v>
      </c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3"/>
      <c r="AG322" s="2"/>
      <c r="AH322" s="1" t="str">
        <f t="shared" si="14"/>
        <v/>
      </c>
    </row>
    <row r="323" spans="2:34">
      <c r="B323" s="9">
        <f t="shared" si="13"/>
        <v>306</v>
      </c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3"/>
      <c r="AG323" s="2"/>
      <c r="AH323" s="1" t="str">
        <f t="shared" si="14"/>
        <v/>
      </c>
    </row>
    <row r="324" spans="2:34">
      <c r="B324" s="9">
        <f t="shared" si="13"/>
        <v>307</v>
      </c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3"/>
      <c r="AG324" s="2"/>
      <c r="AH324" s="1" t="str">
        <f t="shared" si="14"/>
        <v/>
      </c>
    </row>
    <row r="325" spans="2:34">
      <c r="B325" s="9">
        <f t="shared" si="13"/>
        <v>308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3"/>
      <c r="AG325" s="2"/>
      <c r="AH325" s="1" t="str">
        <f t="shared" si="14"/>
        <v/>
      </c>
    </row>
    <row r="326" spans="2:34">
      <c r="B326" s="9">
        <f t="shared" si="13"/>
        <v>309</v>
      </c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3"/>
      <c r="AG326" s="2"/>
      <c r="AH326" s="1" t="str">
        <f t="shared" si="14"/>
        <v/>
      </c>
    </row>
    <row r="327" spans="2:34">
      <c r="B327" s="9">
        <f t="shared" si="13"/>
        <v>310</v>
      </c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3"/>
      <c r="AG327" s="2"/>
      <c r="AH327" s="1" t="str">
        <f t="shared" si="14"/>
        <v/>
      </c>
    </row>
    <row r="328" spans="2:34">
      <c r="B328" s="9">
        <f t="shared" si="13"/>
        <v>311</v>
      </c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3"/>
      <c r="AG328" s="2"/>
      <c r="AH328" s="1" t="str">
        <f t="shared" si="14"/>
        <v/>
      </c>
    </row>
    <row r="329" spans="2:34">
      <c r="B329" s="9">
        <f t="shared" si="13"/>
        <v>312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3"/>
      <c r="AG329" s="2"/>
      <c r="AH329" s="1" t="str">
        <f t="shared" si="14"/>
        <v/>
      </c>
    </row>
    <row r="330" spans="2:34">
      <c r="B330" s="9">
        <f t="shared" si="13"/>
        <v>313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3"/>
      <c r="AG330" s="2"/>
      <c r="AH330" s="1" t="str">
        <f t="shared" si="14"/>
        <v/>
      </c>
    </row>
    <row r="331" spans="2:34">
      <c r="B331" s="9">
        <f t="shared" si="13"/>
        <v>314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3"/>
      <c r="AG331" s="2"/>
      <c r="AH331" s="1" t="str">
        <f t="shared" si="14"/>
        <v/>
      </c>
    </row>
    <row r="332" spans="2:34">
      <c r="B332" s="9">
        <f t="shared" si="13"/>
        <v>315</v>
      </c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3"/>
      <c r="AG332" s="2"/>
      <c r="AH332" s="1" t="str">
        <f t="shared" si="14"/>
        <v/>
      </c>
    </row>
    <row r="333" spans="2:34">
      <c r="B333" s="9">
        <f t="shared" si="13"/>
        <v>316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3"/>
      <c r="AG333" s="2"/>
      <c r="AH333" s="1" t="str">
        <f t="shared" si="14"/>
        <v/>
      </c>
    </row>
    <row r="334" spans="2:34">
      <c r="B334" s="9">
        <f t="shared" si="13"/>
        <v>317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3"/>
      <c r="AG334" s="2"/>
      <c r="AH334" s="1" t="str">
        <f t="shared" si="14"/>
        <v/>
      </c>
    </row>
    <row r="335" spans="2:34">
      <c r="B335" s="9">
        <f t="shared" si="13"/>
        <v>318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3"/>
      <c r="AG335" s="2"/>
      <c r="AH335" s="1" t="str">
        <f t="shared" si="14"/>
        <v/>
      </c>
    </row>
    <row r="336" spans="2:34">
      <c r="B336" s="9">
        <f t="shared" si="13"/>
        <v>319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3"/>
      <c r="AG336" s="2"/>
      <c r="AH336" s="1" t="str">
        <f t="shared" si="14"/>
        <v/>
      </c>
    </row>
    <row r="337" spans="2:34">
      <c r="B337" s="9">
        <f t="shared" si="13"/>
        <v>320</v>
      </c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3"/>
      <c r="AG337" s="2"/>
      <c r="AH337" s="1" t="str">
        <f t="shared" si="14"/>
        <v/>
      </c>
    </row>
    <row r="338" spans="2:34">
      <c r="B338" s="9">
        <f t="shared" si="13"/>
        <v>321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3"/>
      <c r="AG338" s="2"/>
      <c r="AH338" s="1" t="str">
        <f t="shared" si="14"/>
        <v/>
      </c>
    </row>
    <row r="339" spans="2:34">
      <c r="B339" s="9">
        <f t="shared" ref="B339:B402" si="15">ROW()-ROW(B$17)</f>
        <v>322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3"/>
      <c r="AG339" s="2"/>
      <c r="AH339" s="1" t="str">
        <f t="shared" ref="AH339:AH402" si="16">IF(COUNT(C339:AC339)&gt;0,B339,"")</f>
        <v/>
      </c>
    </row>
    <row r="340" spans="2:34">
      <c r="B340" s="9">
        <f t="shared" si="15"/>
        <v>323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3"/>
      <c r="AG340" s="2"/>
      <c r="AH340" s="1" t="str">
        <f t="shared" si="16"/>
        <v/>
      </c>
    </row>
    <row r="341" spans="2:34">
      <c r="B341" s="9">
        <f t="shared" si="15"/>
        <v>324</v>
      </c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3"/>
      <c r="AG341" s="2"/>
      <c r="AH341" s="1" t="str">
        <f t="shared" si="16"/>
        <v/>
      </c>
    </row>
    <row r="342" spans="2:34">
      <c r="B342" s="9">
        <f t="shared" si="15"/>
        <v>325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3"/>
      <c r="AG342" s="2"/>
      <c r="AH342" s="1" t="str">
        <f t="shared" si="16"/>
        <v/>
      </c>
    </row>
    <row r="343" spans="2:34">
      <c r="B343" s="9">
        <f t="shared" si="15"/>
        <v>326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3"/>
      <c r="AG343" s="2"/>
      <c r="AH343" s="1" t="str">
        <f t="shared" si="16"/>
        <v/>
      </c>
    </row>
    <row r="344" spans="2:34">
      <c r="B344" s="9">
        <f t="shared" si="15"/>
        <v>327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3"/>
      <c r="AG344" s="2"/>
      <c r="AH344" s="1" t="str">
        <f t="shared" si="16"/>
        <v/>
      </c>
    </row>
    <row r="345" spans="2:34">
      <c r="B345" s="9">
        <f t="shared" si="15"/>
        <v>328</v>
      </c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3"/>
      <c r="AG345" s="2"/>
      <c r="AH345" s="1" t="str">
        <f t="shared" si="16"/>
        <v/>
      </c>
    </row>
    <row r="346" spans="2:34">
      <c r="B346" s="9">
        <f t="shared" si="15"/>
        <v>329</v>
      </c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3"/>
      <c r="AG346" s="2"/>
      <c r="AH346" s="1" t="str">
        <f t="shared" si="16"/>
        <v/>
      </c>
    </row>
    <row r="347" spans="2:34">
      <c r="B347" s="9">
        <f t="shared" si="15"/>
        <v>330</v>
      </c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3"/>
      <c r="AG347" s="2"/>
      <c r="AH347" s="1" t="str">
        <f t="shared" si="16"/>
        <v/>
      </c>
    </row>
    <row r="348" spans="2:34">
      <c r="B348" s="9">
        <f t="shared" si="15"/>
        <v>331</v>
      </c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3"/>
      <c r="AG348" s="2"/>
      <c r="AH348" s="1" t="str">
        <f t="shared" si="16"/>
        <v/>
      </c>
    </row>
    <row r="349" spans="2:34">
      <c r="B349" s="9">
        <f t="shared" si="15"/>
        <v>332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3"/>
      <c r="AG349" s="2"/>
      <c r="AH349" s="1" t="str">
        <f t="shared" si="16"/>
        <v/>
      </c>
    </row>
    <row r="350" spans="2:34">
      <c r="B350" s="9">
        <f t="shared" si="15"/>
        <v>333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3"/>
      <c r="AG350" s="2"/>
      <c r="AH350" s="1" t="str">
        <f t="shared" si="16"/>
        <v/>
      </c>
    </row>
    <row r="351" spans="2:34">
      <c r="B351" s="9">
        <f t="shared" si="15"/>
        <v>334</v>
      </c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3"/>
      <c r="AG351" s="2"/>
      <c r="AH351" s="1" t="str">
        <f t="shared" si="16"/>
        <v/>
      </c>
    </row>
    <row r="352" spans="2:34">
      <c r="B352" s="9">
        <f t="shared" si="15"/>
        <v>335</v>
      </c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3"/>
      <c r="AG352" s="2"/>
      <c r="AH352" s="1" t="str">
        <f t="shared" si="16"/>
        <v/>
      </c>
    </row>
    <row r="353" spans="2:34">
      <c r="B353" s="9">
        <f t="shared" si="15"/>
        <v>336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3"/>
      <c r="AG353" s="2"/>
      <c r="AH353" s="1" t="str">
        <f t="shared" si="16"/>
        <v/>
      </c>
    </row>
    <row r="354" spans="2:34">
      <c r="B354" s="9">
        <f t="shared" si="15"/>
        <v>337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3"/>
      <c r="AG354" s="2"/>
      <c r="AH354" s="1" t="str">
        <f t="shared" si="16"/>
        <v/>
      </c>
    </row>
    <row r="355" spans="2:34">
      <c r="B355" s="9">
        <f t="shared" si="15"/>
        <v>338</v>
      </c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3"/>
      <c r="AG355" s="2"/>
      <c r="AH355" s="1" t="str">
        <f t="shared" si="16"/>
        <v/>
      </c>
    </row>
    <row r="356" spans="2:34">
      <c r="B356" s="9">
        <f t="shared" si="15"/>
        <v>339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3"/>
      <c r="AG356" s="2"/>
      <c r="AH356" s="1" t="str">
        <f t="shared" si="16"/>
        <v/>
      </c>
    </row>
    <row r="357" spans="2:34">
      <c r="B357" s="9">
        <f t="shared" si="15"/>
        <v>340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3"/>
      <c r="AG357" s="2"/>
      <c r="AH357" s="1" t="str">
        <f t="shared" si="16"/>
        <v/>
      </c>
    </row>
    <row r="358" spans="2:34">
      <c r="B358" s="9">
        <f t="shared" si="15"/>
        <v>341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3"/>
      <c r="AG358" s="2"/>
      <c r="AH358" s="1" t="str">
        <f t="shared" si="16"/>
        <v/>
      </c>
    </row>
    <row r="359" spans="2:34">
      <c r="B359" s="9">
        <f t="shared" si="15"/>
        <v>342</v>
      </c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3"/>
      <c r="AG359" s="2"/>
      <c r="AH359" s="1" t="str">
        <f t="shared" si="16"/>
        <v/>
      </c>
    </row>
    <row r="360" spans="2:34">
      <c r="B360" s="9">
        <f t="shared" si="15"/>
        <v>343</v>
      </c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3"/>
      <c r="AG360" s="2"/>
      <c r="AH360" s="1" t="str">
        <f t="shared" si="16"/>
        <v/>
      </c>
    </row>
    <row r="361" spans="2:34">
      <c r="B361" s="9">
        <f t="shared" si="15"/>
        <v>344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3"/>
      <c r="AG361" s="2"/>
      <c r="AH361" s="1" t="str">
        <f t="shared" si="16"/>
        <v/>
      </c>
    </row>
    <row r="362" spans="2:34">
      <c r="B362" s="9">
        <f t="shared" si="15"/>
        <v>345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3"/>
      <c r="AG362" s="2"/>
      <c r="AH362" s="1" t="str">
        <f t="shared" si="16"/>
        <v/>
      </c>
    </row>
    <row r="363" spans="2:34">
      <c r="B363" s="9">
        <f t="shared" si="15"/>
        <v>346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3"/>
      <c r="AG363" s="2"/>
      <c r="AH363" s="1" t="str">
        <f t="shared" si="16"/>
        <v/>
      </c>
    </row>
    <row r="364" spans="2:34">
      <c r="B364" s="9">
        <f t="shared" si="15"/>
        <v>347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3"/>
      <c r="AG364" s="2"/>
      <c r="AH364" s="1" t="str">
        <f t="shared" si="16"/>
        <v/>
      </c>
    </row>
    <row r="365" spans="2:34">
      <c r="B365" s="9">
        <f t="shared" si="15"/>
        <v>348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3"/>
      <c r="AG365" s="2"/>
      <c r="AH365" s="1" t="str">
        <f t="shared" si="16"/>
        <v/>
      </c>
    </row>
    <row r="366" spans="2:34">
      <c r="B366" s="9">
        <f t="shared" si="15"/>
        <v>349</v>
      </c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3"/>
      <c r="AG366" s="2"/>
      <c r="AH366" s="1" t="str">
        <f t="shared" si="16"/>
        <v/>
      </c>
    </row>
    <row r="367" spans="2:34">
      <c r="B367" s="9">
        <f t="shared" si="15"/>
        <v>350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3"/>
      <c r="AG367" s="2"/>
      <c r="AH367" s="1" t="str">
        <f t="shared" si="16"/>
        <v/>
      </c>
    </row>
    <row r="368" spans="2:34">
      <c r="B368" s="9">
        <f t="shared" si="15"/>
        <v>351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3"/>
      <c r="AG368" s="2"/>
      <c r="AH368" s="1" t="str">
        <f t="shared" si="16"/>
        <v/>
      </c>
    </row>
    <row r="369" spans="2:34">
      <c r="B369" s="9">
        <f t="shared" si="15"/>
        <v>352</v>
      </c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3"/>
      <c r="AG369" s="2"/>
      <c r="AH369" s="1" t="str">
        <f t="shared" si="16"/>
        <v/>
      </c>
    </row>
    <row r="370" spans="2:34">
      <c r="B370" s="9">
        <f t="shared" si="15"/>
        <v>353</v>
      </c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3"/>
      <c r="AG370" s="2"/>
      <c r="AH370" s="1" t="str">
        <f t="shared" si="16"/>
        <v/>
      </c>
    </row>
    <row r="371" spans="2:34">
      <c r="B371" s="9">
        <f t="shared" si="15"/>
        <v>354</v>
      </c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3"/>
      <c r="AG371" s="2"/>
      <c r="AH371" s="1" t="str">
        <f t="shared" si="16"/>
        <v/>
      </c>
    </row>
    <row r="372" spans="2:34">
      <c r="B372" s="9">
        <f t="shared" si="15"/>
        <v>355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3"/>
      <c r="AG372" s="2"/>
      <c r="AH372" s="1" t="str">
        <f t="shared" si="16"/>
        <v/>
      </c>
    </row>
    <row r="373" spans="2:34">
      <c r="B373" s="9">
        <f t="shared" si="15"/>
        <v>356</v>
      </c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3"/>
      <c r="AG373" s="2"/>
      <c r="AH373" s="1" t="str">
        <f t="shared" si="16"/>
        <v/>
      </c>
    </row>
    <row r="374" spans="2:34">
      <c r="B374" s="9">
        <f t="shared" si="15"/>
        <v>357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3"/>
      <c r="AG374" s="2"/>
      <c r="AH374" s="1" t="str">
        <f t="shared" si="16"/>
        <v/>
      </c>
    </row>
    <row r="375" spans="2:34">
      <c r="B375" s="9">
        <f t="shared" si="15"/>
        <v>358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3"/>
      <c r="AG375" s="2"/>
      <c r="AH375" s="1" t="str">
        <f t="shared" si="16"/>
        <v/>
      </c>
    </row>
    <row r="376" spans="2:34">
      <c r="B376" s="9">
        <f t="shared" si="15"/>
        <v>359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3"/>
      <c r="AG376" s="2"/>
      <c r="AH376" s="1" t="str">
        <f t="shared" si="16"/>
        <v/>
      </c>
    </row>
    <row r="377" spans="2:34">
      <c r="B377" s="9">
        <f t="shared" si="15"/>
        <v>360</v>
      </c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3"/>
      <c r="AG377" s="2"/>
      <c r="AH377" s="1" t="str">
        <f t="shared" si="16"/>
        <v/>
      </c>
    </row>
    <row r="378" spans="2:34">
      <c r="B378" s="9">
        <f t="shared" si="15"/>
        <v>361</v>
      </c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3"/>
      <c r="AG378" s="2"/>
      <c r="AH378" s="1" t="str">
        <f t="shared" si="16"/>
        <v/>
      </c>
    </row>
    <row r="379" spans="2:34">
      <c r="B379" s="9">
        <f t="shared" si="15"/>
        <v>362</v>
      </c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3"/>
      <c r="AG379" s="2"/>
      <c r="AH379" s="1" t="str">
        <f t="shared" si="16"/>
        <v/>
      </c>
    </row>
    <row r="380" spans="2:34">
      <c r="B380" s="9">
        <f t="shared" si="15"/>
        <v>363</v>
      </c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3"/>
      <c r="AG380" s="2"/>
      <c r="AH380" s="1" t="str">
        <f t="shared" si="16"/>
        <v/>
      </c>
    </row>
    <row r="381" spans="2:34">
      <c r="B381" s="9">
        <f t="shared" si="15"/>
        <v>364</v>
      </c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3"/>
      <c r="AG381" s="2"/>
      <c r="AH381" s="1" t="str">
        <f t="shared" si="16"/>
        <v/>
      </c>
    </row>
    <row r="382" spans="2:34">
      <c r="B382" s="9">
        <f t="shared" si="15"/>
        <v>365</v>
      </c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3"/>
      <c r="AG382" s="2"/>
      <c r="AH382" s="1" t="str">
        <f t="shared" si="16"/>
        <v/>
      </c>
    </row>
    <row r="383" spans="2:34">
      <c r="B383" s="9">
        <f t="shared" si="15"/>
        <v>366</v>
      </c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3"/>
      <c r="AG383" s="2"/>
      <c r="AH383" s="1" t="str">
        <f t="shared" si="16"/>
        <v/>
      </c>
    </row>
    <row r="384" spans="2:34">
      <c r="B384" s="9">
        <f t="shared" si="15"/>
        <v>367</v>
      </c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3"/>
      <c r="AG384" s="2"/>
      <c r="AH384" s="1" t="str">
        <f t="shared" si="16"/>
        <v/>
      </c>
    </row>
    <row r="385" spans="2:34">
      <c r="B385" s="9">
        <f t="shared" si="15"/>
        <v>368</v>
      </c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3"/>
      <c r="AG385" s="2"/>
      <c r="AH385" s="1" t="str">
        <f t="shared" si="16"/>
        <v/>
      </c>
    </row>
    <row r="386" spans="2:34">
      <c r="B386" s="9">
        <f t="shared" si="15"/>
        <v>369</v>
      </c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3"/>
      <c r="AG386" s="2"/>
      <c r="AH386" s="1" t="str">
        <f t="shared" si="16"/>
        <v/>
      </c>
    </row>
    <row r="387" spans="2:34">
      <c r="B387" s="9">
        <f t="shared" si="15"/>
        <v>370</v>
      </c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3"/>
      <c r="AG387" s="2"/>
      <c r="AH387" s="1" t="str">
        <f t="shared" si="16"/>
        <v/>
      </c>
    </row>
    <row r="388" spans="2:34">
      <c r="B388" s="9">
        <f t="shared" si="15"/>
        <v>371</v>
      </c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3"/>
      <c r="AG388" s="2"/>
      <c r="AH388" s="1" t="str">
        <f t="shared" si="16"/>
        <v/>
      </c>
    </row>
    <row r="389" spans="2:34">
      <c r="B389" s="9">
        <f t="shared" si="15"/>
        <v>372</v>
      </c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3"/>
      <c r="AG389" s="2"/>
      <c r="AH389" s="1" t="str">
        <f t="shared" si="16"/>
        <v/>
      </c>
    </row>
    <row r="390" spans="2:34">
      <c r="B390" s="9">
        <f t="shared" si="15"/>
        <v>373</v>
      </c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3"/>
      <c r="AG390" s="2"/>
      <c r="AH390" s="1" t="str">
        <f t="shared" si="16"/>
        <v/>
      </c>
    </row>
    <row r="391" spans="2:34">
      <c r="B391" s="9">
        <f t="shared" si="15"/>
        <v>374</v>
      </c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3"/>
      <c r="AG391" s="2"/>
      <c r="AH391" s="1" t="str">
        <f t="shared" si="16"/>
        <v/>
      </c>
    </row>
    <row r="392" spans="2:34">
      <c r="B392" s="9">
        <f t="shared" si="15"/>
        <v>375</v>
      </c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3"/>
      <c r="AG392" s="2"/>
      <c r="AH392" s="1" t="str">
        <f t="shared" si="16"/>
        <v/>
      </c>
    </row>
    <row r="393" spans="2:34">
      <c r="B393" s="9">
        <f t="shared" si="15"/>
        <v>376</v>
      </c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3"/>
      <c r="AG393" s="2"/>
      <c r="AH393" s="1" t="str">
        <f t="shared" si="16"/>
        <v/>
      </c>
    </row>
    <row r="394" spans="2:34">
      <c r="B394" s="9">
        <f t="shared" si="15"/>
        <v>377</v>
      </c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3"/>
      <c r="AG394" s="2"/>
      <c r="AH394" s="1" t="str">
        <f t="shared" si="16"/>
        <v/>
      </c>
    </row>
    <row r="395" spans="2:34">
      <c r="B395" s="9">
        <f t="shared" si="15"/>
        <v>378</v>
      </c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3"/>
      <c r="AG395" s="2"/>
      <c r="AH395" s="1" t="str">
        <f t="shared" si="16"/>
        <v/>
      </c>
    </row>
    <row r="396" spans="2:34">
      <c r="B396" s="9">
        <f t="shared" si="15"/>
        <v>379</v>
      </c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3"/>
      <c r="AG396" s="2"/>
      <c r="AH396" s="1" t="str">
        <f t="shared" si="16"/>
        <v/>
      </c>
    </row>
    <row r="397" spans="2:34">
      <c r="B397" s="9">
        <f t="shared" si="15"/>
        <v>380</v>
      </c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3"/>
      <c r="AG397" s="2"/>
      <c r="AH397" s="1" t="str">
        <f t="shared" si="16"/>
        <v/>
      </c>
    </row>
    <row r="398" spans="2:34">
      <c r="B398" s="9">
        <f t="shared" si="15"/>
        <v>381</v>
      </c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3"/>
      <c r="AG398" s="2"/>
      <c r="AH398" s="1" t="str">
        <f t="shared" si="16"/>
        <v/>
      </c>
    </row>
    <row r="399" spans="2:34">
      <c r="B399" s="9">
        <f t="shared" si="15"/>
        <v>382</v>
      </c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3"/>
      <c r="AG399" s="2"/>
      <c r="AH399" s="1" t="str">
        <f t="shared" si="16"/>
        <v/>
      </c>
    </row>
    <row r="400" spans="2:34">
      <c r="B400" s="9">
        <f t="shared" si="15"/>
        <v>383</v>
      </c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3"/>
      <c r="AG400" s="2"/>
      <c r="AH400" s="1" t="str">
        <f t="shared" si="16"/>
        <v/>
      </c>
    </row>
    <row r="401" spans="2:34">
      <c r="B401" s="9">
        <f t="shared" si="15"/>
        <v>384</v>
      </c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3"/>
      <c r="AG401" s="2"/>
      <c r="AH401" s="1" t="str">
        <f t="shared" si="16"/>
        <v/>
      </c>
    </row>
    <row r="402" spans="2:34">
      <c r="B402" s="9">
        <f t="shared" si="15"/>
        <v>385</v>
      </c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3"/>
      <c r="AG402" s="2"/>
      <c r="AH402" s="1" t="str">
        <f t="shared" si="16"/>
        <v/>
      </c>
    </row>
    <row r="403" spans="2:34">
      <c r="B403" s="9">
        <f t="shared" ref="B403:B466" si="17">ROW()-ROW(B$17)</f>
        <v>386</v>
      </c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3"/>
      <c r="AG403" s="2"/>
      <c r="AH403" s="1" t="str">
        <f t="shared" ref="AH403:AH466" si="18">IF(COUNT(C403:AC403)&gt;0,B403,"")</f>
        <v/>
      </c>
    </row>
    <row r="404" spans="2:34">
      <c r="B404" s="9">
        <f t="shared" si="17"/>
        <v>387</v>
      </c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3"/>
      <c r="AG404" s="2"/>
      <c r="AH404" s="1" t="str">
        <f t="shared" si="18"/>
        <v/>
      </c>
    </row>
    <row r="405" spans="2:34">
      <c r="B405" s="9">
        <f t="shared" si="17"/>
        <v>388</v>
      </c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3"/>
      <c r="AG405" s="2"/>
      <c r="AH405" s="1" t="str">
        <f t="shared" si="18"/>
        <v/>
      </c>
    </row>
    <row r="406" spans="2:34">
      <c r="B406" s="9">
        <f t="shared" si="17"/>
        <v>389</v>
      </c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3"/>
      <c r="AG406" s="2"/>
      <c r="AH406" s="1" t="str">
        <f t="shared" si="18"/>
        <v/>
      </c>
    </row>
    <row r="407" spans="2:34">
      <c r="B407" s="9">
        <f t="shared" si="17"/>
        <v>390</v>
      </c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3"/>
      <c r="AG407" s="2"/>
      <c r="AH407" s="1" t="str">
        <f t="shared" si="18"/>
        <v/>
      </c>
    </row>
    <row r="408" spans="2:34">
      <c r="B408" s="9">
        <f t="shared" si="17"/>
        <v>391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3"/>
      <c r="AG408" s="2"/>
      <c r="AH408" s="1" t="str">
        <f t="shared" si="18"/>
        <v/>
      </c>
    </row>
    <row r="409" spans="2:34">
      <c r="B409" s="9">
        <f t="shared" si="17"/>
        <v>392</v>
      </c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3"/>
      <c r="AG409" s="2"/>
      <c r="AH409" s="1" t="str">
        <f t="shared" si="18"/>
        <v/>
      </c>
    </row>
    <row r="410" spans="2:34">
      <c r="B410" s="9">
        <f t="shared" si="17"/>
        <v>393</v>
      </c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3"/>
      <c r="AG410" s="2"/>
      <c r="AH410" s="1" t="str">
        <f t="shared" si="18"/>
        <v/>
      </c>
    </row>
    <row r="411" spans="2:34">
      <c r="B411" s="9">
        <f t="shared" si="17"/>
        <v>394</v>
      </c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3"/>
      <c r="AG411" s="2"/>
      <c r="AH411" s="1" t="str">
        <f t="shared" si="18"/>
        <v/>
      </c>
    </row>
    <row r="412" spans="2:34">
      <c r="B412" s="9">
        <f t="shared" si="17"/>
        <v>395</v>
      </c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3"/>
      <c r="AG412" s="2"/>
      <c r="AH412" s="1" t="str">
        <f t="shared" si="18"/>
        <v/>
      </c>
    </row>
    <row r="413" spans="2:34">
      <c r="B413" s="9">
        <f t="shared" si="17"/>
        <v>396</v>
      </c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3"/>
      <c r="AG413" s="2"/>
      <c r="AH413" s="1" t="str">
        <f t="shared" si="18"/>
        <v/>
      </c>
    </row>
    <row r="414" spans="2:34">
      <c r="B414" s="9">
        <f t="shared" si="17"/>
        <v>397</v>
      </c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3"/>
      <c r="AG414" s="2"/>
      <c r="AH414" s="1" t="str">
        <f t="shared" si="18"/>
        <v/>
      </c>
    </row>
    <row r="415" spans="2:34">
      <c r="B415" s="9">
        <f t="shared" si="17"/>
        <v>398</v>
      </c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3"/>
      <c r="AG415" s="2"/>
      <c r="AH415" s="1" t="str">
        <f t="shared" si="18"/>
        <v/>
      </c>
    </row>
    <row r="416" spans="2:34">
      <c r="B416" s="9">
        <f t="shared" si="17"/>
        <v>399</v>
      </c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3"/>
      <c r="AG416" s="2"/>
      <c r="AH416" s="1" t="str">
        <f t="shared" si="18"/>
        <v/>
      </c>
    </row>
    <row r="417" spans="2:34">
      <c r="B417" s="9">
        <f t="shared" si="17"/>
        <v>400</v>
      </c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3"/>
      <c r="AG417" s="2"/>
      <c r="AH417" s="1" t="str">
        <f t="shared" si="18"/>
        <v/>
      </c>
    </row>
    <row r="418" spans="2:34">
      <c r="B418" s="9">
        <f t="shared" si="17"/>
        <v>401</v>
      </c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3"/>
      <c r="AG418" s="2"/>
      <c r="AH418" s="1" t="str">
        <f t="shared" si="18"/>
        <v/>
      </c>
    </row>
    <row r="419" spans="2:34">
      <c r="B419" s="9">
        <f t="shared" si="17"/>
        <v>402</v>
      </c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3"/>
      <c r="AG419" s="2"/>
      <c r="AH419" s="1" t="str">
        <f t="shared" si="18"/>
        <v/>
      </c>
    </row>
    <row r="420" spans="2:34">
      <c r="B420" s="9">
        <f t="shared" si="17"/>
        <v>403</v>
      </c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3"/>
      <c r="AG420" s="2"/>
      <c r="AH420" s="1" t="str">
        <f t="shared" si="18"/>
        <v/>
      </c>
    </row>
    <row r="421" spans="2:34">
      <c r="B421" s="9">
        <f t="shared" si="17"/>
        <v>404</v>
      </c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3"/>
      <c r="AG421" s="2"/>
      <c r="AH421" s="1" t="str">
        <f t="shared" si="18"/>
        <v/>
      </c>
    </row>
    <row r="422" spans="2:34">
      <c r="B422" s="9">
        <f t="shared" si="17"/>
        <v>405</v>
      </c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3"/>
      <c r="AG422" s="2"/>
      <c r="AH422" s="1" t="str">
        <f t="shared" si="18"/>
        <v/>
      </c>
    </row>
    <row r="423" spans="2:34">
      <c r="B423" s="9">
        <f t="shared" si="17"/>
        <v>406</v>
      </c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3"/>
      <c r="AG423" s="2"/>
      <c r="AH423" s="1" t="str">
        <f t="shared" si="18"/>
        <v/>
      </c>
    </row>
    <row r="424" spans="2:34">
      <c r="B424" s="9">
        <f t="shared" si="17"/>
        <v>407</v>
      </c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3"/>
      <c r="AG424" s="2"/>
      <c r="AH424" s="1" t="str">
        <f t="shared" si="18"/>
        <v/>
      </c>
    </row>
    <row r="425" spans="2:34">
      <c r="B425" s="9">
        <f t="shared" si="17"/>
        <v>408</v>
      </c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3"/>
      <c r="AG425" s="2"/>
      <c r="AH425" s="1" t="str">
        <f t="shared" si="18"/>
        <v/>
      </c>
    </row>
    <row r="426" spans="2:34">
      <c r="B426" s="9">
        <f t="shared" si="17"/>
        <v>409</v>
      </c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3"/>
      <c r="AG426" s="2"/>
      <c r="AH426" s="1" t="str">
        <f t="shared" si="18"/>
        <v/>
      </c>
    </row>
    <row r="427" spans="2:34">
      <c r="B427" s="9">
        <f t="shared" si="17"/>
        <v>410</v>
      </c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3"/>
      <c r="AG427" s="2"/>
      <c r="AH427" s="1" t="str">
        <f t="shared" si="18"/>
        <v/>
      </c>
    </row>
    <row r="428" spans="2:34">
      <c r="B428" s="9">
        <f t="shared" si="17"/>
        <v>411</v>
      </c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3"/>
      <c r="AG428" s="2"/>
      <c r="AH428" s="1" t="str">
        <f t="shared" si="18"/>
        <v/>
      </c>
    </row>
    <row r="429" spans="2:34">
      <c r="B429" s="9">
        <f t="shared" si="17"/>
        <v>412</v>
      </c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3"/>
      <c r="AG429" s="2"/>
      <c r="AH429" s="1" t="str">
        <f t="shared" si="18"/>
        <v/>
      </c>
    </row>
    <row r="430" spans="2:34">
      <c r="B430" s="9">
        <f t="shared" si="17"/>
        <v>413</v>
      </c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3"/>
      <c r="AG430" s="2"/>
      <c r="AH430" s="1" t="str">
        <f t="shared" si="18"/>
        <v/>
      </c>
    </row>
    <row r="431" spans="2:34">
      <c r="B431" s="9">
        <f t="shared" si="17"/>
        <v>414</v>
      </c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3"/>
      <c r="AG431" s="2"/>
      <c r="AH431" s="1" t="str">
        <f t="shared" si="18"/>
        <v/>
      </c>
    </row>
    <row r="432" spans="2:34">
      <c r="B432" s="9">
        <f t="shared" si="17"/>
        <v>415</v>
      </c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3"/>
      <c r="AG432" s="2"/>
      <c r="AH432" s="1" t="str">
        <f t="shared" si="18"/>
        <v/>
      </c>
    </row>
    <row r="433" spans="2:34">
      <c r="B433" s="9">
        <f t="shared" si="17"/>
        <v>416</v>
      </c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3"/>
      <c r="AG433" s="2"/>
      <c r="AH433" s="1" t="str">
        <f t="shared" si="18"/>
        <v/>
      </c>
    </row>
    <row r="434" spans="2:34">
      <c r="B434" s="9">
        <f t="shared" si="17"/>
        <v>417</v>
      </c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3"/>
      <c r="AG434" s="2"/>
      <c r="AH434" s="1" t="str">
        <f t="shared" si="18"/>
        <v/>
      </c>
    </row>
    <row r="435" spans="2:34">
      <c r="B435" s="9">
        <f t="shared" si="17"/>
        <v>418</v>
      </c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3"/>
      <c r="AG435" s="2"/>
      <c r="AH435" s="1" t="str">
        <f t="shared" si="18"/>
        <v/>
      </c>
    </row>
    <row r="436" spans="2:34">
      <c r="B436" s="9">
        <f t="shared" si="17"/>
        <v>419</v>
      </c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3"/>
      <c r="AG436" s="2"/>
      <c r="AH436" s="1" t="str">
        <f t="shared" si="18"/>
        <v/>
      </c>
    </row>
    <row r="437" spans="2:34">
      <c r="B437" s="9">
        <f t="shared" si="17"/>
        <v>420</v>
      </c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3"/>
      <c r="AG437" s="2"/>
      <c r="AH437" s="1" t="str">
        <f t="shared" si="18"/>
        <v/>
      </c>
    </row>
    <row r="438" spans="2:34">
      <c r="B438" s="9">
        <f t="shared" si="17"/>
        <v>421</v>
      </c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3"/>
      <c r="AG438" s="2"/>
      <c r="AH438" s="1" t="str">
        <f t="shared" si="18"/>
        <v/>
      </c>
    </row>
    <row r="439" spans="2:34">
      <c r="B439" s="9">
        <f t="shared" si="17"/>
        <v>422</v>
      </c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3"/>
      <c r="AG439" s="2"/>
      <c r="AH439" s="1" t="str">
        <f t="shared" si="18"/>
        <v/>
      </c>
    </row>
    <row r="440" spans="2:34">
      <c r="B440" s="9">
        <f t="shared" si="17"/>
        <v>423</v>
      </c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3"/>
      <c r="AG440" s="2"/>
      <c r="AH440" s="1" t="str">
        <f t="shared" si="18"/>
        <v/>
      </c>
    </row>
    <row r="441" spans="2:34">
      <c r="B441" s="9">
        <f t="shared" si="17"/>
        <v>424</v>
      </c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3"/>
      <c r="AG441" s="2"/>
      <c r="AH441" s="1" t="str">
        <f t="shared" si="18"/>
        <v/>
      </c>
    </row>
    <row r="442" spans="2:34">
      <c r="B442" s="9">
        <f t="shared" si="17"/>
        <v>425</v>
      </c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3"/>
      <c r="AG442" s="2"/>
      <c r="AH442" s="1" t="str">
        <f t="shared" si="18"/>
        <v/>
      </c>
    </row>
    <row r="443" spans="2:34">
      <c r="B443" s="9">
        <f t="shared" si="17"/>
        <v>426</v>
      </c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3"/>
      <c r="AG443" s="2"/>
      <c r="AH443" s="1" t="str">
        <f t="shared" si="18"/>
        <v/>
      </c>
    </row>
    <row r="444" spans="2:34">
      <c r="B444" s="9">
        <f t="shared" si="17"/>
        <v>427</v>
      </c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3"/>
      <c r="AG444" s="2"/>
      <c r="AH444" s="1" t="str">
        <f t="shared" si="18"/>
        <v/>
      </c>
    </row>
    <row r="445" spans="2:34">
      <c r="B445" s="9">
        <f t="shared" si="17"/>
        <v>428</v>
      </c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3"/>
      <c r="AG445" s="2"/>
      <c r="AH445" s="1" t="str">
        <f t="shared" si="18"/>
        <v/>
      </c>
    </row>
    <row r="446" spans="2:34">
      <c r="B446" s="9">
        <f t="shared" si="17"/>
        <v>429</v>
      </c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3"/>
      <c r="AG446" s="2"/>
      <c r="AH446" s="1" t="str">
        <f t="shared" si="18"/>
        <v/>
      </c>
    </row>
    <row r="447" spans="2:34">
      <c r="B447" s="9">
        <f t="shared" si="17"/>
        <v>430</v>
      </c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3"/>
      <c r="AG447" s="2"/>
      <c r="AH447" s="1" t="str">
        <f t="shared" si="18"/>
        <v/>
      </c>
    </row>
    <row r="448" spans="2:34">
      <c r="B448" s="9">
        <f t="shared" si="17"/>
        <v>431</v>
      </c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3"/>
      <c r="AG448" s="2"/>
      <c r="AH448" s="1" t="str">
        <f t="shared" si="18"/>
        <v/>
      </c>
    </row>
    <row r="449" spans="2:34">
      <c r="B449" s="9">
        <f t="shared" si="17"/>
        <v>432</v>
      </c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3"/>
      <c r="AG449" s="2"/>
      <c r="AH449" s="1" t="str">
        <f t="shared" si="18"/>
        <v/>
      </c>
    </row>
    <row r="450" spans="2:34">
      <c r="B450" s="9">
        <f t="shared" si="17"/>
        <v>433</v>
      </c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3"/>
      <c r="AG450" s="2"/>
      <c r="AH450" s="1" t="str">
        <f t="shared" si="18"/>
        <v/>
      </c>
    </row>
    <row r="451" spans="2:34">
      <c r="B451" s="9">
        <f t="shared" si="17"/>
        <v>434</v>
      </c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3"/>
      <c r="AG451" s="2"/>
      <c r="AH451" s="1" t="str">
        <f t="shared" si="18"/>
        <v/>
      </c>
    </row>
    <row r="452" spans="2:34">
      <c r="B452" s="9">
        <f t="shared" si="17"/>
        <v>435</v>
      </c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3"/>
      <c r="AG452" s="2"/>
      <c r="AH452" s="1" t="str">
        <f t="shared" si="18"/>
        <v/>
      </c>
    </row>
    <row r="453" spans="2:34">
      <c r="B453" s="9">
        <f t="shared" si="17"/>
        <v>436</v>
      </c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3"/>
      <c r="AG453" s="2"/>
      <c r="AH453" s="1" t="str">
        <f t="shared" si="18"/>
        <v/>
      </c>
    </row>
    <row r="454" spans="2:34">
      <c r="B454" s="9">
        <f t="shared" si="17"/>
        <v>437</v>
      </c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3"/>
      <c r="AG454" s="2"/>
      <c r="AH454" s="1" t="str">
        <f t="shared" si="18"/>
        <v/>
      </c>
    </row>
    <row r="455" spans="2:34">
      <c r="B455" s="9">
        <f t="shared" si="17"/>
        <v>438</v>
      </c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3"/>
      <c r="AG455" s="2"/>
      <c r="AH455" s="1" t="str">
        <f t="shared" si="18"/>
        <v/>
      </c>
    </row>
    <row r="456" spans="2:34">
      <c r="B456" s="9">
        <f t="shared" si="17"/>
        <v>439</v>
      </c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3"/>
      <c r="AG456" s="2"/>
      <c r="AH456" s="1" t="str">
        <f t="shared" si="18"/>
        <v/>
      </c>
    </row>
    <row r="457" spans="2:34">
      <c r="B457" s="9">
        <f t="shared" si="17"/>
        <v>440</v>
      </c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3"/>
      <c r="AG457" s="2"/>
      <c r="AH457" s="1" t="str">
        <f t="shared" si="18"/>
        <v/>
      </c>
    </row>
    <row r="458" spans="2:34">
      <c r="B458" s="9">
        <f t="shared" si="17"/>
        <v>441</v>
      </c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3"/>
      <c r="AG458" s="2"/>
      <c r="AH458" s="1" t="str">
        <f t="shared" si="18"/>
        <v/>
      </c>
    </row>
    <row r="459" spans="2:34">
      <c r="B459" s="9">
        <f t="shared" si="17"/>
        <v>442</v>
      </c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3"/>
      <c r="AG459" s="2"/>
      <c r="AH459" s="1" t="str">
        <f t="shared" si="18"/>
        <v/>
      </c>
    </row>
    <row r="460" spans="2:34">
      <c r="B460" s="9">
        <f t="shared" si="17"/>
        <v>443</v>
      </c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3"/>
      <c r="AG460" s="2"/>
      <c r="AH460" s="1" t="str">
        <f t="shared" si="18"/>
        <v/>
      </c>
    </row>
    <row r="461" spans="2:34">
      <c r="B461" s="9">
        <f t="shared" si="17"/>
        <v>444</v>
      </c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3"/>
      <c r="AG461" s="2"/>
      <c r="AH461" s="1" t="str">
        <f t="shared" si="18"/>
        <v/>
      </c>
    </row>
    <row r="462" spans="2:34">
      <c r="B462" s="9">
        <f t="shared" si="17"/>
        <v>445</v>
      </c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3"/>
      <c r="AG462" s="2"/>
      <c r="AH462" s="1" t="str">
        <f t="shared" si="18"/>
        <v/>
      </c>
    </row>
    <row r="463" spans="2:34">
      <c r="B463" s="9">
        <f t="shared" si="17"/>
        <v>446</v>
      </c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3"/>
      <c r="AG463" s="2"/>
      <c r="AH463" s="1" t="str">
        <f t="shared" si="18"/>
        <v/>
      </c>
    </row>
    <row r="464" spans="2:34">
      <c r="B464" s="9">
        <f t="shared" si="17"/>
        <v>447</v>
      </c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3"/>
      <c r="AG464" s="2"/>
      <c r="AH464" s="1" t="str">
        <f t="shared" si="18"/>
        <v/>
      </c>
    </row>
    <row r="465" spans="2:34">
      <c r="B465" s="9">
        <f t="shared" si="17"/>
        <v>448</v>
      </c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3"/>
      <c r="AG465" s="2"/>
      <c r="AH465" s="1" t="str">
        <f t="shared" si="18"/>
        <v/>
      </c>
    </row>
    <row r="466" spans="2:34">
      <c r="B466" s="9">
        <f t="shared" si="17"/>
        <v>449</v>
      </c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3"/>
      <c r="AG466" s="2"/>
      <c r="AH466" s="1" t="str">
        <f t="shared" si="18"/>
        <v/>
      </c>
    </row>
    <row r="467" spans="2:34">
      <c r="B467" s="9">
        <f t="shared" ref="B467:B500" si="19">ROW()-ROW(B$17)</f>
        <v>450</v>
      </c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3"/>
      <c r="AG467" s="2"/>
      <c r="AH467" s="1" t="str">
        <f t="shared" ref="AH467:AH500" si="20">IF(COUNT(C467:AC467)&gt;0,B467,"")</f>
        <v/>
      </c>
    </row>
    <row r="468" spans="2:34">
      <c r="B468" s="9">
        <f t="shared" si="19"/>
        <v>451</v>
      </c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3"/>
      <c r="AG468" s="2"/>
      <c r="AH468" s="1" t="str">
        <f t="shared" si="20"/>
        <v/>
      </c>
    </row>
    <row r="469" spans="2:34">
      <c r="B469" s="9">
        <f t="shared" si="19"/>
        <v>452</v>
      </c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3"/>
      <c r="AG469" s="2"/>
      <c r="AH469" s="1" t="str">
        <f t="shared" si="20"/>
        <v/>
      </c>
    </row>
    <row r="470" spans="2:34">
      <c r="B470" s="9">
        <f t="shared" si="19"/>
        <v>453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3"/>
      <c r="AG470" s="2"/>
      <c r="AH470" s="1" t="str">
        <f t="shared" si="20"/>
        <v/>
      </c>
    </row>
    <row r="471" spans="2:34">
      <c r="B471" s="9">
        <f t="shared" si="19"/>
        <v>454</v>
      </c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3"/>
      <c r="AG471" s="2"/>
      <c r="AH471" s="1" t="str">
        <f t="shared" si="20"/>
        <v/>
      </c>
    </row>
    <row r="472" spans="2:34">
      <c r="B472" s="9">
        <f t="shared" si="19"/>
        <v>455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3"/>
      <c r="AG472" s="2"/>
      <c r="AH472" s="1" t="str">
        <f t="shared" si="20"/>
        <v/>
      </c>
    </row>
    <row r="473" spans="2:34">
      <c r="B473" s="9">
        <f t="shared" si="19"/>
        <v>456</v>
      </c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3"/>
      <c r="AG473" s="2"/>
      <c r="AH473" s="1" t="str">
        <f t="shared" si="20"/>
        <v/>
      </c>
    </row>
    <row r="474" spans="2:34">
      <c r="B474" s="9">
        <f t="shared" si="19"/>
        <v>457</v>
      </c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3"/>
      <c r="AG474" s="2"/>
      <c r="AH474" s="1" t="str">
        <f t="shared" si="20"/>
        <v/>
      </c>
    </row>
    <row r="475" spans="2:34">
      <c r="B475" s="9">
        <f t="shared" si="19"/>
        <v>458</v>
      </c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3"/>
      <c r="AG475" s="2"/>
      <c r="AH475" s="1" t="str">
        <f t="shared" si="20"/>
        <v/>
      </c>
    </row>
    <row r="476" spans="2:34">
      <c r="B476" s="9">
        <f t="shared" si="19"/>
        <v>459</v>
      </c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3"/>
      <c r="AG476" s="2"/>
      <c r="AH476" s="1" t="str">
        <f t="shared" si="20"/>
        <v/>
      </c>
    </row>
    <row r="477" spans="2:34">
      <c r="B477" s="9">
        <f t="shared" si="19"/>
        <v>460</v>
      </c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3"/>
      <c r="AG477" s="2"/>
      <c r="AH477" s="1" t="str">
        <f t="shared" si="20"/>
        <v/>
      </c>
    </row>
    <row r="478" spans="2:34">
      <c r="B478" s="9">
        <f t="shared" si="19"/>
        <v>461</v>
      </c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3"/>
      <c r="AG478" s="2"/>
      <c r="AH478" s="1" t="str">
        <f t="shared" si="20"/>
        <v/>
      </c>
    </row>
    <row r="479" spans="2:34">
      <c r="B479" s="9">
        <f t="shared" si="19"/>
        <v>462</v>
      </c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3"/>
      <c r="AG479" s="2"/>
      <c r="AH479" s="1" t="str">
        <f t="shared" si="20"/>
        <v/>
      </c>
    </row>
    <row r="480" spans="2:34">
      <c r="B480" s="9">
        <f t="shared" si="19"/>
        <v>463</v>
      </c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3"/>
      <c r="AG480" s="2"/>
      <c r="AH480" s="1" t="str">
        <f t="shared" si="20"/>
        <v/>
      </c>
    </row>
    <row r="481" spans="2:34">
      <c r="B481" s="9">
        <f t="shared" si="19"/>
        <v>464</v>
      </c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3"/>
      <c r="AG481" s="2"/>
      <c r="AH481" s="1" t="str">
        <f t="shared" si="20"/>
        <v/>
      </c>
    </row>
    <row r="482" spans="2:34">
      <c r="B482" s="9">
        <f t="shared" si="19"/>
        <v>465</v>
      </c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3"/>
      <c r="AG482" s="2"/>
      <c r="AH482" s="1" t="str">
        <f t="shared" si="20"/>
        <v/>
      </c>
    </row>
    <row r="483" spans="2:34">
      <c r="B483" s="9">
        <f t="shared" si="19"/>
        <v>466</v>
      </c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3"/>
      <c r="AG483" s="2"/>
      <c r="AH483" s="1" t="str">
        <f t="shared" si="20"/>
        <v/>
      </c>
    </row>
    <row r="484" spans="2:34">
      <c r="B484" s="9">
        <f t="shared" si="19"/>
        <v>467</v>
      </c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3"/>
      <c r="AG484" s="2"/>
      <c r="AH484" s="1" t="str">
        <f t="shared" si="20"/>
        <v/>
      </c>
    </row>
    <row r="485" spans="2:34">
      <c r="B485" s="9">
        <f t="shared" si="19"/>
        <v>468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3"/>
      <c r="AG485" s="2"/>
      <c r="AH485" s="1" t="str">
        <f t="shared" si="20"/>
        <v/>
      </c>
    </row>
    <row r="486" spans="2:34">
      <c r="B486" s="9">
        <f t="shared" si="19"/>
        <v>469</v>
      </c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3"/>
      <c r="AG486" s="2"/>
      <c r="AH486" s="1" t="str">
        <f t="shared" si="20"/>
        <v/>
      </c>
    </row>
    <row r="487" spans="2:34">
      <c r="B487" s="9">
        <f t="shared" si="19"/>
        <v>470</v>
      </c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3"/>
      <c r="AG487" s="2"/>
      <c r="AH487" s="1" t="str">
        <f t="shared" si="20"/>
        <v/>
      </c>
    </row>
    <row r="488" spans="2:34">
      <c r="B488" s="9">
        <f t="shared" si="19"/>
        <v>471</v>
      </c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3"/>
      <c r="AG488" s="2"/>
      <c r="AH488" s="1" t="str">
        <f t="shared" si="20"/>
        <v/>
      </c>
    </row>
    <row r="489" spans="2:34">
      <c r="B489" s="9">
        <f t="shared" si="19"/>
        <v>472</v>
      </c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3"/>
      <c r="AG489" s="2"/>
      <c r="AH489" s="1" t="str">
        <f t="shared" si="20"/>
        <v/>
      </c>
    </row>
    <row r="490" spans="2:34">
      <c r="B490" s="9">
        <f t="shared" si="19"/>
        <v>473</v>
      </c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3"/>
      <c r="AG490" s="2"/>
      <c r="AH490" s="1" t="str">
        <f t="shared" si="20"/>
        <v/>
      </c>
    </row>
    <row r="491" spans="2:34">
      <c r="B491" s="9">
        <f t="shared" si="19"/>
        <v>474</v>
      </c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3"/>
      <c r="AG491" s="2"/>
      <c r="AH491" s="1" t="str">
        <f t="shared" si="20"/>
        <v/>
      </c>
    </row>
    <row r="492" spans="2:34">
      <c r="B492" s="9">
        <f t="shared" si="19"/>
        <v>475</v>
      </c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3"/>
      <c r="AG492" s="2"/>
      <c r="AH492" s="1" t="str">
        <f t="shared" si="20"/>
        <v/>
      </c>
    </row>
    <row r="493" spans="2:34">
      <c r="B493" s="9">
        <f t="shared" si="19"/>
        <v>476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3"/>
      <c r="AG493" s="2"/>
      <c r="AH493" s="1" t="str">
        <f t="shared" si="20"/>
        <v/>
      </c>
    </row>
    <row r="494" spans="2:34">
      <c r="B494" s="9">
        <f t="shared" si="19"/>
        <v>477</v>
      </c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3"/>
      <c r="AG494" s="2"/>
      <c r="AH494" s="1" t="str">
        <f t="shared" si="20"/>
        <v/>
      </c>
    </row>
    <row r="495" spans="2:34">
      <c r="B495" s="9">
        <f t="shared" si="19"/>
        <v>478</v>
      </c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3"/>
      <c r="AG495" s="2"/>
      <c r="AH495" s="1" t="str">
        <f t="shared" si="20"/>
        <v/>
      </c>
    </row>
    <row r="496" spans="2:34">
      <c r="B496" s="9">
        <f t="shared" si="19"/>
        <v>479</v>
      </c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3"/>
      <c r="AG496" s="2"/>
      <c r="AH496" s="1" t="str">
        <f t="shared" si="20"/>
        <v/>
      </c>
    </row>
    <row r="497" spans="2:34">
      <c r="B497" s="9">
        <f t="shared" si="19"/>
        <v>480</v>
      </c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3"/>
      <c r="AG497" s="2"/>
      <c r="AH497" s="1" t="str">
        <f t="shared" si="20"/>
        <v/>
      </c>
    </row>
    <row r="498" spans="2:34">
      <c r="B498" s="9">
        <f t="shared" si="19"/>
        <v>481</v>
      </c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3"/>
      <c r="AG498" s="2"/>
      <c r="AH498" s="1" t="str">
        <f t="shared" si="20"/>
        <v/>
      </c>
    </row>
    <row r="499" spans="2:34">
      <c r="B499" s="9">
        <f t="shared" si="19"/>
        <v>482</v>
      </c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3"/>
      <c r="AG499" s="2"/>
      <c r="AH499" s="1" t="str">
        <f t="shared" si="20"/>
        <v/>
      </c>
    </row>
    <row r="500" spans="2:34">
      <c r="B500" s="10">
        <f t="shared" si="19"/>
        <v>483</v>
      </c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5"/>
      <c r="AG500" s="2"/>
      <c r="AH500" s="1" t="str">
        <f t="shared" si="20"/>
        <v/>
      </c>
    </row>
  </sheetData>
  <sheetProtection password="F8BC" objects="1" scenarios="1"/>
  <phoneticPr fontId="3"/>
  <dataValidations count="7">
    <dataValidation type="list" allowBlank="1" showErrorMessage="1" sqref="C11">
      <formula1>"指定呼出,自動最新"</formula1>
    </dataValidation>
    <dataValidation type="decimal" allowBlank="1" showInputMessage="1" showErrorMessage="1" sqref="A1:B1048576 C1:C9 AF2:AF17 D1:E11 C12:E17 AF1:AG1 AH1:IV1048576 AG2:AG65536 J16:J17 AD1:AE14 J1:J14 K1:AC17 F1:G17 H2:H17 I2:I17 H1:I1">
      <formula1>0.00001</formula1>
      <formula2>0.000011</formula2>
    </dataValidation>
    <dataValidation type="whole" allowBlank="1" showInputMessage="1" showErrorMessage="1" sqref="C10">
      <formula1>1</formula1>
      <formula2>500</formula2>
    </dataValidation>
    <dataValidation type="decimal" allowBlank="1" showInputMessage="1" showErrorMessage="1" sqref="C18:G65536">
      <formula1>-100000</formula1>
      <formula2>300000</formula2>
    </dataValidation>
    <dataValidation type="decimal" allowBlank="1" showInputMessage="1" showErrorMessage="1" sqref="H18:H65536">
      <formula1>1</formula1>
      <formula2>15</formula2>
    </dataValidation>
    <dataValidation type="whole" allowBlank="1" showInputMessage="1" showErrorMessage="1" errorTitle="入力できる数値は1から5までです" error="入力できる数値は1から5までです" sqref="J18:AE65536">
      <formula1>1</formula1>
      <formula2>5</formula2>
    </dataValidation>
    <dataValidation type="time" allowBlank="1" showInputMessage="1" showErrorMessage="1" sqref="AF18:AF65536">
      <formula1>0</formula1>
      <formula2>0.999305555555556</formula2>
    </dataValidation>
  </dataValidations>
  <pageMargins left="0.75" right="0.75" top="1" bottom="1" header="0.51200000000000001" footer="0.5120000000000000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BF110"/>
  <sheetViews>
    <sheetView topLeftCell="A43" workbookViewId="0">
      <selection activeCell="C69" sqref="C69"/>
    </sheetView>
  </sheetViews>
  <sheetFormatPr defaultRowHeight="13.5"/>
  <cols>
    <col min="1" max="1" width="8.625" style="109" customWidth="1"/>
    <col min="2" max="5" width="9" style="109"/>
    <col min="6" max="6" width="9.25" style="109" bestFit="1" customWidth="1"/>
    <col min="7" max="7" width="9" style="109"/>
    <col min="8" max="27" width="5" style="109" customWidth="1"/>
    <col min="28" max="16384" width="9" style="109"/>
  </cols>
  <sheetData>
    <row r="3" spans="1:30" s="103" customFormat="1">
      <c r="A3" s="103" t="s">
        <v>118</v>
      </c>
    </row>
    <row r="4" spans="1:30" s="103" customFormat="1">
      <c r="A4" s="104"/>
      <c r="B4" s="105" t="s">
        <v>119</v>
      </c>
      <c r="C4" s="105"/>
      <c r="D4" s="105"/>
      <c r="E4" s="105"/>
      <c r="F4" s="105"/>
      <c r="G4" s="104"/>
      <c r="H4" s="106">
        <v>1</v>
      </c>
      <c r="I4" s="106">
        <v>2</v>
      </c>
      <c r="J4" s="106">
        <v>3</v>
      </c>
      <c r="K4" s="106">
        <v>4</v>
      </c>
      <c r="L4" s="106">
        <v>5</v>
      </c>
      <c r="M4" s="106">
        <v>6</v>
      </c>
      <c r="N4" s="106">
        <v>7</v>
      </c>
      <c r="O4" s="106">
        <v>8</v>
      </c>
      <c r="P4" s="106">
        <v>9</v>
      </c>
      <c r="Q4" s="106">
        <v>10</v>
      </c>
      <c r="R4" s="106">
        <v>11</v>
      </c>
      <c r="S4" s="106">
        <v>12</v>
      </c>
      <c r="T4" s="106">
        <v>13</v>
      </c>
      <c r="U4" s="106">
        <v>14</v>
      </c>
      <c r="V4" s="106">
        <v>15</v>
      </c>
      <c r="W4" s="106">
        <v>16</v>
      </c>
      <c r="X4" s="106">
        <v>17</v>
      </c>
      <c r="Y4" s="106">
        <v>18</v>
      </c>
      <c r="Z4" s="106">
        <v>19</v>
      </c>
      <c r="AA4" s="106">
        <v>20</v>
      </c>
      <c r="AC4" s="145"/>
    </row>
    <row r="5" spans="1:30" ht="46.5" customHeight="1">
      <c r="A5" s="107" t="s">
        <v>53</v>
      </c>
      <c r="B5" s="105" t="s">
        <v>58</v>
      </c>
      <c r="C5" s="105" t="s">
        <v>132</v>
      </c>
      <c r="D5" s="105" t="s">
        <v>133</v>
      </c>
      <c r="E5" s="105" t="s">
        <v>59</v>
      </c>
      <c r="F5" s="105" t="s">
        <v>60</v>
      </c>
      <c r="G5" s="107" t="s">
        <v>120</v>
      </c>
      <c r="H5" s="108" t="str">
        <f>入力!J17</f>
        <v>冷蔵庫のドアの開閉は回数を減らす</v>
      </c>
      <c r="I5" s="108" t="str">
        <f>入力!K17</f>
        <v>食器洗いで節水を心がける</v>
      </c>
      <c r="J5" s="108" t="str">
        <f>入力!L17</f>
        <v>生ゴミは水分を十分切って出すか、コンポストしている</v>
      </c>
      <c r="K5" s="108" t="str">
        <f>入力!M17</f>
        <v>電子レンジや冷蔵庫保存はラップを使わず、ふた付き容器を使用する</v>
      </c>
      <c r="L5" s="108" t="str">
        <f>入力!N17</f>
        <v>使い切る分だけお湯を沸かす</v>
      </c>
      <c r="M5" s="108" t="str">
        <f>入力!O17</f>
        <v>使っていない部屋の照明はこまめに消す</v>
      </c>
      <c r="N5" s="108" t="str">
        <f>入力!P17</f>
        <v>テレビは点けっぱなしにせず、見たい番組のときだけ点ける</v>
      </c>
      <c r="O5" s="108" t="str">
        <f>入力!Q17</f>
        <v>冷暖房の設定を控えめにする（冷房は28℃、暖房は20℃が目安）</v>
      </c>
      <c r="P5" s="108" t="str">
        <f>入力!R17</f>
        <v>物は大切に、長く使うように心がける</v>
      </c>
      <c r="Q5" s="108" t="str">
        <f>入力!S17</f>
        <v>家族で「省エネ」「リサイクル」「環境問題」などの話をする</v>
      </c>
      <c r="R5" s="108" t="str">
        <f>入力!T17</f>
        <v>シャワーで使用するお湯を少なくするよう気をつける</v>
      </c>
      <c r="S5" s="108" t="str">
        <f>入力!U17</f>
        <v>お風呂はさめないうちに、家族が続けて入る</v>
      </c>
      <c r="T5" s="108" t="str">
        <f>入力!V17</f>
        <v>お風呂の残り湯を、洗濯や庭の水やりに利用する</v>
      </c>
      <c r="U5" s="108" t="str">
        <f>入力!W17</f>
        <v>掃除機をかける前に、まず部屋を片づける</v>
      </c>
      <c r="V5" s="108" t="str">
        <f>入力!X17</f>
        <v>洗濯は量をまとめて行い、洗濯回数を減らすようにする</v>
      </c>
      <c r="W5" s="108" t="str">
        <f>入力!Y17</f>
        <v>洗剤を適量確認して使用する</v>
      </c>
      <c r="X5" s="108" t="str">
        <f>入力!Z17</f>
        <v>買い物のときは買い物袋を持参する</v>
      </c>
      <c r="Y5" s="108" t="str">
        <f>入力!AA17</f>
        <v>エコマーク商品など環境にいい商品を意識的に選んで購入する</v>
      </c>
      <c r="Z5" s="108" t="str">
        <f>入力!AB17</f>
        <v>リサイクルや、各自治体の分別収集のルールを守る</v>
      </c>
      <c r="AA5" s="108" t="str">
        <f>入力!AC17</f>
        <v>近い所へは徒歩や自転車を使い、自動車の使用はひかえる</v>
      </c>
      <c r="AB5" s="108" t="str">
        <f>入力!AD17</f>
        <v>オール電化なら1</v>
      </c>
      <c r="AC5" s="108" t="s">
        <v>230</v>
      </c>
      <c r="AD5" s="108" t="s">
        <v>304</v>
      </c>
    </row>
    <row r="6" spans="1:30">
      <c r="A6" s="109">
        <f>入力!C12</f>
        <v>1</v>
      </c>
      <c r="B6" s="109">
        <f>INDEX(入力!C18:C499,$A6)</f>
        <v>10000</v>
      </c>
      <c r="C6" s="109">
        <f>INDEX(入力!D18:D499,$A6)</f>
        <v>0</v>
      </c>
      <c r="D6" s="109">
        <f>INDEX(入力!E18:E499,$A6)</f>
        <v>6000</v>
      </c>
      <c r="E6" s="109">
        <f>INDEX(入力!F18:F499,$A6)</f>
        <v>0</v>
      </c>
      <c r="F6" s="109">
        <f>INDEX(入力!G18:G499,$A6)</f>
        <v>4000</v>
      </c>
      <c r="G6" s="109">
        <f>INDEX(入力!H18:H499,$A6)</f>
        <v>4</v>
      </c>
      <c r="H6" s="109">
        <f>INDEX(入力!J18:J499,$A6)</f>
        <v>4</v>
      </c>
      <c r="I6" s="109">
        <f>INDEX(入力!K18:K499,$A6)</f>
        <v>1</v>
      </c>
      <c r="J6" s="109">
        <f>INDEX(入力!L18:L499,$A6)</f>
        <v>2</v>
      </c>
      <c r="K6" s="109">
        <f>INDEX(入力!M18:M499,$A6)</f>
        <v>1</v>
      </c>
      <c r="L6" s="109">
        <f>INDEX(入力!N18:N499,$A6)</f>
        <v>2</v>
      </c>
      <c r="M6" s="109">
        <f>INDEX(入力!O18:O499,$A6)</f>
        <v>2</v>
      </c>
      <c r="N6" s="109">
        <f>INDEX(入力!P18:P499,$A6)</f>
        <v>1</v>
      </c>
      <c r="O6" s="109">
        <f>INDEX(入力!Q18:Q499,$A6)</f>
        <v>1</v>
      </c>
      <c r="P6" s="109">
        <f>INDEX(入力!R18:R499,$A6)</f>
        <v>1</v>
      </c>
      <c r="Q6" s="109">
        <f>INDEX(入力!S18:S499,$A6)</f>
        <v>1</v>
      </c>
      <c r="R6" s="109">
        <f>INDEX(入力!T18:T499,$A6)</f>
        <v>2</v>
      </c>
      <c r="S6" s="109">
        <f>INDEX(入力!U18:U499,$A6)</f>
        <v>1</v>
      </c>
      <c r="T6" s="109">
        <f>INDEX(入力!V18:V499,$A6)</f>
        <v>1</v>
      </c>
      <c r="U6" s="109">
        <f>INDEX(入力!W18:W499,$A6)</f>
        <v>1</v>
      </c>
      <c r="V6" s="109">
        <f>INDEX(入力!X18:X499,$A6)</f>
        <v>1</v>
      </c>
      <c r="W6" s="109">
        <f>INDEX(入力!Y18:Y499,$A6)</f>
        <v>1</v>
      </c>
      <c r="X6" s="109">
        <f>INDEX(入力!Z18:Z499,$A6)</f>
        <v>1</v>
      </c>
      <c r="Y6" s="109">
        <f>INDEX(入力!AA18:AA499,$A6)</f>
        <v>2</v>
      </c>
      <c r="Z6" s="109">
        <f>INDEX(入力!AB18:AB499,$A6)</f>
        <v>1</v>
      </c>
      <c r="AA6" s="109">
        <f>INDEX(入力!AC18:AC499,$A6)</f>
        <v>2</v>
      </c>
      <c r="AB6" s="109">
        <f>INDEX(入力!AD18:AD499,$A6)</f>
        <v>0</v>
      </c>
      <c r="AC6" s="146" t="str">
        <f>INDEX(入力!I18:I499,$A6)</f>
        <v>sample</v>
      </c>
      <c r="AD6" s="109">
        <f>INDEX(入力!AE18:AE499,$A6)</f>
        <v>2</v>
      </c>
    </row>
    <row r="7" spans="1:30">
      <c r="A7" s="109" t="s">
        <v>61</v>
      </c>
      <c r="B7" s="109">
        <f>IF(B6="",0,B6)</f>
        <v>10000</v>
      </c>
      <c r="C7" s="109">
        <f>IF(C6="",0,C6)</f>
        <v>0</v>
      </c>
      <c r="D7" s="109">
        <f>IF(D6="",0,D6)</f>
        <v>6000</v>
      </c>
      <c r="E7" s="109">
        <f>IF(E6="",0,E6)</f>
        <v>0</v>
      </c>
      <c r="F7" s="109">
        <f>IF(F6="",0,F6)</f>
        <v>4000</v>
      </c>
      <c r="G7" s="109">
        <f>IF(G6="",3,IF(G6&gt;6,6,G6))</f>
        <v>4</v>
      </c>
      <c r="H7" s="109">
        <f>IF(H6=($C$8+1),INDEX(初期設定!$F$23:$F$42,H4),H6)</f>
        <v>0</v>
      </c>
      <c r="I7" s="109">
        <f>IF(I6=($C$8+1),INDEX(初期設定!$F$23:$F$42,I4),I6)</f>
        <v>1</v>
      </c>
      <c r="J7" s="109">
        <f>IF(J6=($C$8+1),INDEX(初期設定!$F$23:$F$42,J4),J6)</f>
        <v>2</v>
      </c>
      <c r="K7" s="109">
        <f>IF(K6=($C$8+1),INDEX(初期設定!$F$23:$F$42,K4),K6)</f>
        <v>1</v>
      </c>
      <c r="L7" s="109">
        <f>IF(L6=($C$8+1),INDEX(初期設定!$F$23:$F$42,L4),L6)</f>
        <v>2</v>
      </c>
      <c r="M7" s="109">
        <f>IF(M6=($C$8+1),INDEX(初期設定!$F$23:$F$42,M4),M6)</f>
        <v>2</v>
      </c>
      <c r="N7" s="109">
        <f>IF(N6=($C$8+1),INDEX(初期設定!$F$23:$F$42,N4),N6)</f>
        <v>1</v>
      </c>
      <c r="O7" s="109">
        <f>IF(O6=($C$8+1),INDEX(初期設定!$F$23:$F$42,O4),O6)</f>
        <v>1</v>
      </c>
      <c r="P7" s="109">
        <f>IF(P6=($C$8+1),INDEX(初期設定!$F$23:$F$42,P4),P6)</f>
        <v>1</v>
      </c>
      <c r="Q7" s="109">
        <f>IF(Q6=($C$8+1),INDEX(初期設定!$F$23:$F$42,Q4),Q6)</f>
        <v>1</v>
      </c>
      <c r="R7" s="109">
        <f>IF(R6=($C$8+1),INDEX(初期設定!$F$23:$F$42,R4),R6)</f>
        <v>2</v>
      </c>
      <c r="S7" s="109">
        <f>IF(S6=($C$8+1),INDEX(初期設定!$F$23:$F$42,S4),S6)</f>
        <v>1</v>
      </c>
      <c r="T7" s="109">
        <f>IF(T6=($C$8+1),INDEX(初期設定!$F$23:$F$42,T4),T6)</f>
        <v>1</v>
      </c>
      <c r="U7" s="109">
        <f>IF(U6=($C$8+1),INDEX(初期設定!$F$23:$F$42,U4),U6)</f>
        <v>1</v>
      </c>
      <c r="V7" s="109">
        <f>IF(V6=($C$8+1),INDEX(初期設定!$F$23:$F$42,V4),V6)</f>
        <v>1</v>
      </c>
      <c r="W7" s="109">
        <f>IF(W6=($C$8+1),INDEX(初期設定!$F$23:$F$42,W4),W6)</f>
        <v>1</v>
      </c>
      <c r="X7" s="109">
        <f>IF(X6=($C$8+1),INDEX(初期設定!$F$23:$F$42,X4),X6)</f>
        <v>1</v>
      </c>
      <c r="Y7" s="109">
        <f>IF(Y6=($C$8+1),INDEX(初期設定!$F$23:$F$42,Y4),Y6)</f>
        <v>2</v>
      </c>
      <c r="Z7" s="109">
        <f>IF(Z6=($C$8+1),INDEX(初期設定!$F$23:$F$42,Z4),Z6)</f>
        <v>1</v>
      </c>
      <c r="AA7" s="109">
        <f>IF(AA6=($C$8+1),INDEX(初期設定!$F$23:$F$42,AA4),AA6)</f>
        <v>2</v>
      </c>
      <c r="AC7" s="146" t="str">
        <f>IF(OR(AC6="",AC6=0),"",AC6)</f>
        <v>sample</v>
      </c>
      <c r="AD7" s="109">
        <f>IF(AD6=1,1,2)</f>
        <v>2</v>
      </c>
    </row>
    <row r="8" spans="1:30">
      <c r="A8" s="142" t="s">
        <v>231</v>
      </c>
      <c r="B8" s="143"/>
      <c r="C8" s="143">
        <f>IF(初期設定!C19=初期設定!E19,3,4)</f>
        <v>3</v>
      </c>
    </row>
    <row r="9" spans="1:30">
      <c r="G9" s="109" t="s">
        <v>62</v>
      </c>
      <c r="H9" s="109">
        <f>INDEX(初期設定!$D23:$D42,H4)</f>
        <v>1</v>
      </c>
      <c r="I9" s="109">
        <f>INDEX(初期設定!$D23:$D42,I4)</f>
        <v>1</v>
      </c>
      <c r="J9" s="109">
        <f>INDEX(初期設定!$D23:$D42,J4)</f>
        <v>1</v>
      </c>
      <c r="K9" s="109">
        <f>INDEX(初期設定!$D23:$D42,K4)</f>
        <v>1</v>
      </c>
      <c r="L9" s="109">
        <f>INDEX(初期設定!$D23:$D42,L4)</f>
        <v>1</v>
      </c>
      <c r="M9" s="109">
        <f>INDEX(初期設定!$D23:$D42,M4)</f>
        <v>2</v>
      </c>
      <c r="N9" s="109">
        <f>INDEX(初期設定!$D23:$D42,N4)</f>
        <v>2</v>
      </c>
      <c r="O9" s="109">
        <f>INDEX(初期設定!$D23:$D42,O4)</f>
        <v>2</v>
      </c>
      <c r="P9" s="109">
        <f>INDEX(初期設定!$D23:$D42,P4)</f>
        <v>2</v>
      </c>
      <c r="Q9" s="109">
        <f>INDEX(初期設定!$D23:$D42,Q4)</f>
        <v>2</v>
      </c>
      <c r="R9" s="109">
        <f>INDEX(初期設定!$D23:$D42,R4)</f>
        <v>3</v>
      </c>
      <c r="S9" s="109">
        <f>INDEX(初期設定!$D23:$D42,S4)</f>
        <v>3</v>
      </c>
      <c r="T9" s="109">
        <f>INDEX(初期設定!$D23:$D42,T4)</f>
        <v>3</v>
      </c>
      <c r="U9" s="109">
        <f>INDEX(初期設定!$D23:$D42,U4)</f>
        <v>4</v>
      </c>
      <c r="V9" s="109">
        <f>INDEX(初期設定!$D23:$D42,V4)</f>
        <v>4</v>
      </c>
      <c r="W9" s="109">
        <f>INDEX(初期設定!$D23:$D42,W4)</f>
        <v>4</v>
      </c>
      <c r="X9" s="109">
        <f>INDEX(初期設定!$D23:$D42,X4)</f>
        <v>5</v>
      </c>
      <c r="Y9" s="109">
        <f>INDEX(初期設定!$D23:$D42,Y4)</f>
        <v>5</v>
      </c>
      <c r="Z9" s="109">
        <f>INDEX(初期設定!$D23:$D42,Z4)</f>
        <v>5</v>
      </c>
      <c r="AA9" s="109">
        <f>INDEX(初期設定!$D23:$D42,AA4)</f>
        <v>5</v>
      </c>
    </row>
    <row r="11" spans="1:30">
      <c r="A11" s="109" t="s">
        <v>121</v>
      </c>
      <c r="G11" s="109" t="s">
        <v>63</v>
      </c>
      <c r="P11" s="109" t="s">
        <v>266</v>
      </c>
    </row>
    <row r="12" spans="1:30">
      <c r="J12" s="109">
        <v>1</v>
      </c>
      <c r="K12" s="109">
        <v>2</v>
      </c>
      <c r="L12" s="109">
        <v>3</v>
      </c>
      <c r="M12" s="109">
        <v>4</v>
      </c>
      <c r="N12" s="109">
        <v>5</v>
      </c>
    </row>
    <row r="13" spans="1:30">
      <c r="A13" s="109" t="s">
        <v>122</v>
      </c>
      <c r="D13" s="109" t="s">
        <v>298</v>
      </c>
      <c r="J13" s="110" t="str">
        <f>INDEX(初期設定!$C9:$C13,診断計算!J12)</f>
        <v>台所</v>
      </c>
      <c r="K13" s="110" t="str">
        <f>INDEX(初期設定!$C9:$C13,診断計算!K12)</f>
        <v>部屋・生活</v>
      </c>
      <c r="L13" s="110" t="str">
        <f>INDEX(初期設定!$C9:$C13,診断計算!L12)</f>
        <v>風呂・洗面</v>
      </c>
      <c r="M13" s="110" t="str">
        <f>INDEX(初期設定!$C9:$C13,診断計算!M12)</f>
        <v>掃除洗濯</v>
      </c>
      <c r="N13" s="110" t="str">
        <f>INDEX(初期設定!$C9:$C13,診断計算!N12)</f>
        <v>買い物・外出</v>
      </c>
    </row>
    <row r="14" spans="1:30">
      <c r="A14" s="128"/>
      <c r="B14" s="128" t="s">
        <v>64</v>
      </c>
      <c r="C14" s="128" t="s">
        <v>54</v>
      </c>
      <c r="D14" s="128" t="s">
        <v>65</v>
      </c>
      <c r="E14" s="128" t="s">
        <v>55</v>
      </c>
      <c r="I14" s="111" t="s">
        <v>123</v>
      </c>
      <c r="J14" s="110">
        <f>IF(SUMPRODUCT(($H$9:$AA$9=J12)*($H$7:$AA$7&gt;0))=0,"",($C$8-SUMPRODUCT(($H$9:$AA$9=J12)*($H$7:$AA$7))/SUMPRODUCT(($H$9:$AA$9=J12)*($H$7:$AA$7&gt;0)))*100/($C$8-1))</f>
        <v>75</v>
      </c>
      <c r="K14" s="110">
        <f>IF(SUMPRODUCT(($H$9:$AA$9=K12)*($H$7:$AA$7&gt;0))=0,"",($C$8-SUMPRODUCT(($H$9:$AA$9=K12)*($H$7:$AA$7))/SUMPRODUCT(($H$9:$AA$9=K12)*($H$7:$AA$7&gt;0)))*100/($C$8-1))</f>
        <v>90</v>
      </c>
      <c r="L14" s="110">
        <f>IF(SUMPRODUCT(($H$9:$AA$9=L12)*($H$7:$AA$7&gt;0))=0,"",($C$8-SUMPRODUCT(($H$9:$AA$9=L12)*($H$7:$AA$7))/SUMPRODUCT(($H$9:$AA$9=L12)*($H$7:$AA$7&gt;0)))*100/($C$8-1))</f>
        <v>83.333333333333343</v>
      </c>
      <c r="M14" s="110">
        <f>IF(SUMPRODUCT(($H$9:$AA$9=M12)*($H$7:$AA$7&gt;0))=0,"",($C$8-SUMPRODUCT(($H$9:$AA$9=M12)*($H$7:$AA$7))/SUMPRODUCT(($H$9:$AA$9=M12)*($H$7:$AA$7&gt;0)))*100/($C$8-1))</f>
        <v>100</v>
      </c>
      <c r="N14" s="110">
        <f>IF(SUMPRODUCT(($H$9:$AA$9=N12)*($H$7:$AA$7&gt;0))=0,"",($C$8-SUMPRODUCT(($H$9:$AA$9=N12)*($H$7:$AA$7))/SUMPRODUCT(($H$9:$AA$9=N12)*($H$7:$AA$7&gt;0)))*100/($C$8-1))</f>
        <v>75</v>
      </c>
      <c r="P14" s="110" t="str">
        <f>IF(初期設定!$C$77="表示する",集計レポート!J36,"")</f>
        <v/>
      </c>
      <c r="Q14" s="110" t="str">
        <f>IF(初期設定!$C$77="表示する",集計レポート!K36,"")</f>
        <v/>
      </c>
      <c r="R14" s="110" t="str">
        <f>IF(初期設定!$C$77="表示する",集計レポート!L36,"")</f>
        <v/>
      </c>
      <c r="S14" s="110" t="str">
        <f>IF(初期設定!$C$77="表示する",集計レポート!M36,"")</f>
        <v/>
      </c>
      <c r="T14" s="110" t="str">
        <f>IF(初期設定!$C$77="表示する",集計レポート!N36,"")</f>
        <v/>
      </c>
    </row>
    <row r="15" spans="1:30">
      <c r="A15" s="128">
        <v>1</v>
      </c>
      <c r="B15" s="179">
        <f t="shared" ref="B15:E20" si="0">B75*B$85</f>
        <v>4227.3679999999995</v>
      </c>
      <c r="C15" s="179">
        <f t="shared" si="0"/>
        <v>3190.4166666666665</v>
      </c>
      <c r="D15" s="179">
        <f t="shared" si="0"/>
        <v>152.93333333333331</v>
      </c>
      <c r="E15" s="179">
        <f t="shared" si="0"/>
        <v>1108.4125000000001</v>
      </c>
      <c r="I15" s="111" t="s">
        <v>66</v>
      </c>
      <c r="J15" s="109">
        <f>IF(J14=$O15,J12,"")</f>
        <v>1</v>
      </c>
      <c r="K15" s="109" t="str">
        <f>IF(K14=$O15,K12,"")</f>
        <v/>
      </c>
      <c r="L15" s="109" t="str">
        <f>IF(L14=$O15,L12,"")</f>
        <v/>
      </c>
      <c r="M15" s="109" t="str">
        <f>IF(M14=$O15,M12,"")</f>
        <v/>
      </c>
      <c r="N15" s="109">
        <f>IF(N14=$O15,N12,"")</f>
        <v>5</v>
      </c>
      <c r="O15" s="112">
        <f>MIN(J14:N14)</f>
        <v>75</v>
      </c>
      <c r="P15" s="109">
        <f>MAX(J15:N15)</f>
        <v>5</v>
      </c>
    </row>
    <row r="16" spans="1:30">
      <c r="A16" s="128">
        <v>2</v>
      </c>
      <c r="B16" s="179">
        <f t="shared" si="0"/>
        <v>7735.1840000000002</v>
      </c>
      <c r="C16" s="179">
        <f t="shared" si="0"/>
        <v>5092.395833333333</v>
      </c>
      <c r="D16" s="179">
        <f t="shared" si="0"/>
        <v>372</v>
      </c>
      <c r="E16" s="179">
        <f t="shared" si="0"/>
        <v>1945.8797222222227</v>
      </c>
      <c r="I16" s="111" t="s">
        <v>124</v>
      </c>
      <c r="J16" s="109" t="str">
        <f>IF(J14&gt;85,J13,"")</f>
        <v/>
      </c>
      <c r="K16" s="109" t="str">
        <f>IF(K14&gt;85,K13,"")</f>
        <v>部屋・生活</v>
      </c>
      <c r="L16" s="109" t="str">
        <f>IF(L14&gt;85,L13,"")</f>
        <v/>
      </c>
      <c r="M16" s="109" t="str">
        <f>IF(M14&gt;85,M13,"")</f>
        <v>掃除洗濯</v>
      </c>
      <c r="N16" s="109" t="str">
        <f>IF(N14&gt;85,N13,"")</f>
        <v/>
      </c>
      <c r="P16" s="113" t="str">
        <f>IF(LEN(J16&amp;K16&amp;L16&amp;M16&amp;N16)&gt;0,MID(IF(J16="","","、"&amp;J16)&amp;IF(K16="","","、"&amp;K16)&amp;IF(L16="","","、"&amp;L16)&amp;IF(M16="","","、"&amp;M16)&amp;IF(N16="","","、"&amp;N16),2,100)&amp;"についてよく取り組めています。","")</f>
        <v>部屋・生活、掃除洗濯についてよく取り組めています。</v>
      </c>
    </row>
    <row r="17" spans="1:29">
      <c r="A17" s="128">
        <v>3</v>
      </c>
      <c r="B17" s="179">
        <f t="shared" si="0"/>
        <v>8904.4560000000001</v>
      </c>
      <c r="C17" s="179">
        <f t="shared" si="0"/>
        <v>6135.416666666667</v>
      </c>
      <c r="D17" s="179">
        <f t="shared" si="0"/>
        <v>372</v>
      </c>
      <c r="E17" s="179">
        <f t="shared" si="0"/>
        <v>2413.8761111111116</v>
      </c>
      <c r="I17" s="111" t="s">
        <v>67</v>
      </c>
      <c r="J17" s="109" t="str">
        <f>IF(J14&lt;60,J13,"")</f>
        <v/>
      </c>
      <c r="K17" s="109" t="str">
        <f>IF(K14&lt;60,K13,"")</f>
        <v/>
      </c>
      <c r="L17" s="109" t="str">
        <f>IF(L14&lt;60,L13,"")</f>
        <v/>
      </c>
      <c r="M17" s="109" t="str">
        <f>IF(M14&lt;60,M13,"")</f>
        <v/>
      </c>
      <c r="N17" s="109" t="str">
        <f>IF(N14&lt;60,N13,"")</f>
        <v/>
      </c>
      <c r="P17" s="113" t="str">
        <f>IF(LEN(J17&amp;K17&amp;L17&amp;M17&amp;N17)&gt;0,MID(IF(J17="","","、"&amp;J17)&amp;IF(K17="","","、"&amp;K17)&amp;IF(L17="","","、"&amp;L17)&amp;IF(M17="","","、"&amp;M17)&amp;IF(N17="","","、"&amp;N17),2,100)&amp;"の取り組みがやや低めです","")</f>
        <v/>
      </c>
    </row>
    <row r="18" spans="1:29">
      <c r="A18" s="128">
        <v>4</v>
      </c>
      <c r="B18" s="179">
        <f t="shared" si="0"/>
        <v>9624.0079999999998</v>
      </c>
      <c r="C18" s="179">
        <f t="shared" si="0"/>
        <v>6748.9583333333348</v>
      </c>
      <c r="D18" s="179">
        <f t="shared" si="0"/>
        <v>351.33333333333331</v>
      </c>
      <c r="E18" s="179">
        <f t="shared" si="0"/>
        <v>2857.2411111111114</v>
      </c>
    </row>
    <row r="19" spans="1:29">
      <c r="A19" s="128">
        <v>5</v>
      </c>
      <c r="B19" s="179">
        <f t="shared" si="0"/>
        <v>11153.056</v>
      </c>
      <c r="C19" s="179">
        <f t="shared" si="0"/>
        <v>7178.4375</v>
      </c>
      <c r="D19" s="179">
        <f t="shared" si="0"/>
        <v>454.66666666666663</v>
      </c>
      <c r="E19" s="179">
        <f t="shared" si="0"/>
        <v>3103.5549999999998</v>
      </c>
      <c r="H19" s="109" t="s">
        <v>125</v>
      </c>
    </row>
    <row r="20" spans="1:29">
      <c r="A20" s="128">
        <v>6</v>
      </c>
      <c r="B20" s="179">
        <f t="shared" si="0"/>
        <v>13941.32</v>
      </c>
      <c r="C20" s="179">
        <f t="shared" si="0"/>
        <v>7301.145833333333</v>
      </c>
      <c r="D20" s="179">
        <f t="shared" si="0"/>
        <v>690.26666666666654</v>
      </c>
      <c r="E20" s="179">
        <f t="shared" si="0"/>
        <v>3275.9747222222231</v>
      </c>
      <c r="H20" s="109">
        <f ca="1">IF(H9=$P15,H7+RAND()/3,0)</f>
        <v>0</v>
      </c>
      <c r="I20" s="109">
        <f t="shared" ref="I20:AA20" ca="1" si="1">IF(I9=$P15,I7+RAND()/3,0)</f>
        <v>0</v>
      </c>
      <c r="J20" s="109">
        <f t="shared" ca="1" si="1"/>
        <v>0</v>
      </c>
      <c r="K20" s="109">
        <f t="shared" ca="1" si="1"/>
        <v>0</v>
      </c>
      <c r="L20" s="109">
        <f t="shared" ca="1" si="1"/>
        <v>0</v>
      </c>
      <c r="M20" s="109">
        <f t="shared" ca="1" si="1"/>
        <v>0</v>
      </c>
      <c r="N20" s="109">
        <f t="shared" ca="1" si="1"/>
        <v>0</v>
      </c>
      <c r="O20" s="109">
        <f t="shared" ca="1" si="1"/>
        <v>0</v>
      </c>
      <c r="P20" s="109">
        <f t="shared" ca="1" si="1"/>
        <v>0</v>
      </c>
      <c r="Q20" s="109">
        <f t="shared" ca="1" si="1"/>
        <v>0</v>
      </c>
      <c r="R20" s="109">
        <f t="shared" ca="1" si="1"/>
        <v>0</v>
      </c>
      <c r="S20" s="109">
        <f t="shared" ca="1" si="1"/>
        <v>0</v>
      </c>
      <c r="T20" s="109">
        <f t="shared" ca="1" si="1"/>
        <v>0</v>
      </c>
      <c r="U20" s="109">
        <f t="shared" ca="1" si="1"/>
        <v>0</v>
      </c>
      <c r="V20" s="109">
        <f t="shared" ca="1" si="1"/>
        <v>0</v>
      </c>
      <c r="W20" s="109">
        <f t="shared" ca="1" si="1"/>
        <v>0</v>
      </c>
      <c r="X20" s="109">
        <f t="shared" ca="1" si="1"/>
        <v>1.1228113487514957</v>
      </c>
      <c r="Y20" s="109">
        <f t="shared" ca="1" si="1"/>
        <v>2.1354221704696701</v>
      </c>
      <c r="Z20" s="109">
        <f t="shared" ca="1" si="1"/>
        <v>1.0345666016746358</v>
      </c>
      <c r="AA20" s="109">
        <f t="shared" ca="1" si="1"/>
        <v>2.0523998147267948</v>
      </c>
    </row>
    <row r="21" spans="1:29">
      <c r="A21" s="109" t="s">
        <v>209</v>
      </c>
      <c r="B21" s="110"/>
      <c r="C21" s="110"/>
      <c r="D21" s="110"/>
      <c r="E21" s="110"/>
      <c r="F21" s="110"/>
      <c r="H21" s="109" t="str">
        <f ca="1">IF(H20=$AB21,H4,"")</f>
        <v/>
      </c>
      <c r="I21" s="109" t="str">
        <f t="shared" ref="I21:AA21" ca="1" si="2">IF(I20=$AB21,I4,"")</f>
        <v/>
      </c>
      <c r="J21" s="109" t="str">
        <f t="shared" ca="1" si="2"/>
        <v/>
      </c>
      <c r="K21" s="109" t="str">
        <f t="shared" ca="1" si="2"/>
        <v/>
      </c>
      <c r="L21" s="109" t="str">
        <f t="shared" ca="1" si="2"/>
        <v/>
      </c>
      <c r="M21" s="109" t="str">
        <f t="shared" ca="1" si="2"/>
        <v/>
      </c>
      <c r="N21" s="109" t="str">
        <f t="shared" ca="1" si="2"/>
        <v/>
      </c>
      <c r="O21" s="109" t="str">
        <f t="shared" ca="1" si="2"/>
        <v/>
      </c>
      <c r="P21" s="109" t="str">
        <f t="shared" ca="1" si="2"/>
        <v/>
      </c>
      <c r="Q21" s="109" t="str">
        <f t="shared" ca="1" si="2"/>
        <v/>
      </c>
      <c r="R21" s="109" t="str">
        <f t="shared" ca="1" si="2"/>
        <v/>
      </c>
      <c r="S21" s="109" t="str">
        <f t="shared" ca="1" si="2"/>
        <v/>
      </c>
      <c r="T21" s="109" t="str">
        <f t="shared" ca="1" si="2"/>
        <v/>
      </c>
      <c r="U21" s="109" t="str">
        <f t="shared" ca="1" si="2"/>
        <v/>
      </c>
      <c r="V21" s="109" t="str">
        <f t="shared" ca="1" si="2"/>
        <v/>
      </c>
      <c r="W21" s="109" t="str">
        <f t="shared" ca="1" si="2"/>
        <v/>
      </c>
      <c r="X21" s="109" t="str">
        <f t="shared" ca="1" si="2"/>
        <v/>
      </c>
      <c r="Y21" s="109">
        <f t="shared" ca="1" si="2"/>
        <v>18</v>
      </c>
      <c r="Z21" s="109" t="str">
        <f t="shared" ca="1" si="2"/>
        <v/>
      </c>
      <c r="AA21" s="109" t="str">
        <f t="shared" ca="1" si="2"/>
        <v/>
      </c>
      <c r="AB21" s="109">
        <f ca="1">MAX(H20:AA20)</f>
        <v>2.1354221704696701</v>
      </c>
      <c r="AC21" s="109" t="str">
        <f ca="1">"「"&amp;INDEX(H5:AA5,MAX(H21:AA21))&amp;"」"</f>
        <v>「エコマーク商品など環境にいい商品を意識的に選んで購入する」</v>
      </c>
    </row>
    <row r="22" spans="1:29">
      <c r="A22" s="135" t="s">
        <v>299</v>
      </c>
      <c r="B22" s="176">
        <v>21.77</v>
      </c>
      <c r="C22" s="136">
        <v>534.97142857142853</v>
      </c>
      <c r="D22" s="136">
        <v>56.6</v>
      </c>
      <c r="E22" s="136">
        <v>113.53571428571426</v>
      </c>
      <c r="F22" s="110"/>
      <c r="H22" s="109" t="s">
        <v>68</v>
      </c>
    </row>
    <row r="23" spans="1:29">
      <c r="A23" s="109" t="s">
        <v>328</v>
      </c>
      <c r="B23" s="118">
        <v>26.17</v>
      </c>
      <c r="C23" s="110">
        <v>781.1</v>
      </c>
      <c r="D23" s="109">
        <v>85.11</v>
      </c>
      <c r="E23" s="109">
        <v>142.69999999999999</v>
      </c>
      <c r="F23" s="181" t="s">
        <v>353</v>
      </c>
      <c r="H23" s="109">
        <f ca="1">IF(H21="",H7+RAND()/3,0)</f>
        <v>0.30687619798300858</v>
      </c>
      <c r="I23" s="109">
        <f t="shared" ref="I23:AA23" ca="1" si="3">IF(I21="",I7+RAND()/3,0)</f>
        <v>1.13899204334701</v>
      </c>
      <c r="J23" s="109">
        <f t="shared" ca="1" si="3"/>
        <v>2.0193819780573046</v>
      </c>
      <c r="K23" s="109">
        <f t="shared" ca="1" si="3"/>
        <v>1.0149724338105206</v>
      </c>
      <c r="L23" s="109">
        <f t="shared" ca="1" si="3"/>
        <v>2.14779306237293</v>
      </c>
      <c r="M23" s="109">
        <f t="shared" ca="1" si="3"/>
        <v>2.1993450784029465</v>
      </c>
      <c r="N23" s="109">
        <f t="shared" ca="1" si="3"/>
        <v>1.1718087108813293</v>
      </c>
      <c r="O23" s="109">
        <f t="shared" ca="1" si="3"/>
        <v>1.0139978977371493</v>
      </c>
      <c r="P23" s="109">
        <f t="shared" ca="1" si="3"/>
        <v>1.1290800134914099</v>
      </c>
      <c r="Q23" s="109">
        <f t="shared" ca="1" si="3"/>
        <v>1.2842968217255459</v>
      </c>
      <c r="R23" s="109">
        <f t="shared" ca="1" si="3"/>
        <v>2.2515750666010126</v>
      </c>
      <c r="S23" s="109">
        <f t="shared" ca="1" si="3"/>
        <v>1.0042792747212268</v>
      </c>
      <c r="T23" s="109">
        <f t="shared" ca="1" si="3"/>
        <v>1.1421945284231534</v>
      </c>
      <c r="U23" s="109">
        <f t="shared" ca="1" si="3"/>
        <v>1.3215043567380338</v>
      </c>
      <c r="V23" s="109">
        <f t="shared" ca="1" si="3"/>
        <v>1.0578321318313511</v>
      </c>
      <c r="W23" s="109">
        <f t="shared" ca="1" si="3"/>
        <v>1.083080797995599</v>
      </c>
      <c r="X23" s="109">
        <f t="shared" ca="1" si="3"/>
        <v>1.2872192252011081</v>
      </c>
      <c r="Y23" s="109">
        <f t="shared" ca="1" si="3"/>
        <v>0</v>
      </c>
      <c r="Z23" s="109">
        <f t="shared" ca="1" si="3"/>
        <v>1.2347983009745942</v>
      </c>
      <c r="AA23" s="109">
        <f t="shared" ca="1" si="3"/>
        <v>2.2093731471559388</v>
      </c>
    </row>
    <row r="24" spans="1:29">
      <c r="A24" s="109" t="s">
        <v>126</v>
      </c>
      <c r="G24" s="109" t="str">
        <f t="shared" ref="G24:Z24" ca="1" si="4">IF(H23=$AA24,H4,"")</f>
        <v/>
      </c>
      <c r="H24" s="109" t="str">
        <f t="shared" ca="1" si="4"/>
        <v/>
      </c>
      <c r="I24" s="109" t="str">
        <f t="shared" ca="1" si="4"/>
        <v/>
      </c>
      <c r="J24" s="109" t="str">
        <f t="shared" ca="1" si="4"/>
        <v/>
      </c>
      <c r="K24" s="109" t="str">
        <f t="shared" ca="1" si="4"/>
        <v/>
      </c>
      <c r="L24" s="109" t="str">
        <f t="shared" ca="1" si="4"/>
        <v/>
      </c>
      <c r="M24" s="109" t="str">
        <f t="shared" ca="1" si="4"/>
        <v/>
      </c>
      <c r="N24" s="109" t="str">
        <f t="shared" ca="1" si="4"/>
        <v/>
      </c>
      <c r="O24" s="109" t="str">
        <f t="shared" ca="1" si="4"/>
        <v/>
      </c>
      <c r="P24" s="109" t="str">
        <f t="shared" ca="1" si="4"/>
        <v/>
      </c>
      <c r="Q24" s="109">
        <f t="shared" ca="1" si="4"/>
        <v>11</v>
      </c>
      <c r="R24" s="109" t="str">
        <f t="shared" ca="1" si="4"/>
        <v/>
      </c>
      <c r="S24" s="109" t="str">
        <f t="shared" ca="1" si="4"/>
        <v/>
      </c>
      <c r="T24" s="109" t="str">
        <f t="shared" ca="1" si="4"/>
        <v/>
      </c>
      <c r="U24" s="109" t="str">
        <f t="shared" ca="1" si="4"/>
        <v/>
      </c>
      <c r="V24" s="109" t="str">
        <f t="shared" ca="1" si="4"/>
        <v/>
      </c>
      <c r="W24" s="109" t="str">
        <f t="shared" ca="1" si="4"/>
        <v/>
      </c>
      <c r="X24" s="109" t="str">
        <f t="shared" ca="1" si="4"/>
        <v/>
      </c>
      <c r="Y24" s="109" t="str">
        <f t="shared" ca="1" si="4"/>
        <v/>
      </c>
      <c r="Z24" s="109" t="str">
        <f t="shared" ca="1" si="4"/>
        <v/>
      </c>
      <c r="AA24" s="109">
        <f ca="1">MAX(H23:AA23)</f>
        <v>2.2515750666010126</v>
      </c>
      <c r="AB24" s="109" t="str">
        <f ca="1">IF(INDEX(H7:AA7,MAX(G24:Z24))=1,"","「"&amp;INDEX(H5:AA5,MAX(G24:Z24))&amp;"」")</f>
        <v>「シャワーで使用するお湯を少なくするよう気をつける」</v>
      </c>
    </row>
    <row r="25" spans="1:29">
      <c r="B25" s="109" t="s">
        <v>69</v>
      </c>
      <c r="C25" s="109" t="str">
        <f>IF(D7=0,"都市ガス","LPガス")</f>
        <v>LPガス</v>
      </c>
      <c r="D25" s="109" t="s">
        <v>70</v>
      </c>
      <c r="E25" s="109" t="s">
        <v>55</v>
      </c>
    </row>
    <row r="26" spans="1:29">
      <c r="A26" s="109" t="s">
        <v>56</v>
      </c>
      <c r="B26" s="110">
        <f>B7</f>
        <v>10000</v>
      </c>
      <c r="C26" s="110">
        <f>MAX(C7:D7)</f>
        <v>6000</v>
      </c>
      <c r="D26" s="110">
        <f>E7</f>
        <v>0</v>
      </c>
      <c r="E26" s="110">
        <f>F7</f>
        <v>4000</v>
      </c>
    </row>
    <row r="27" spans="1:29">
      <c r="A27" s="109" t="str">
        <f>G7&amp;"人家族の標準"</f>
        <v>4人家族の標準</v>
      </c>
      <c r="B27" s="110">
        <f>(IF(AB6=1,B106,0)+IF(AB6=1,B97,0)+B99*IF(AB6=1,(1/B104*0.2+0.8),1))</f>
        <v>12699.388017265437</v>
      </c>
      <c r="C27" s="110">
        <f>IF(AB6=1,0,IF(D7=0,1,(B92+B91*10)/10/診断計算!C22)*INDEX(C15:C20,$G7))*IF(AD7=2,C88,1)</f>
        <v>8031.8192234488688</v>
      </c>
      <c r="D27" s="110">
        <f>INDEX(D15:D20,$G7)*D23/D22*IF(AD7=2,D88,1)</f>
        <v>1211.014621635001</v>
      </c>
      <c r="E27" s="110">
        <f>INDEX(E15:E20,$G7)*初期設定!E61/診断計算!E22*IF(AD7=2,E88,1)</f>
        <v>6150.0279280877412</v>
      </c>
      <c r="F27" s="109" t="s">
        <v>308</v>
      </c>
    </row>
    <row r="28" spans="1:29">
      <c r="A28" s="109" t="s">
        <v>71</v>
      </c>
      <c r="B28" s="114">
        <f>B26/B27</f>
        <v>0.78743951963704961</v>
      </c>
      <c r="C28" s="114">
        <f>IF(C27=0,0,C26/C27)</f>
        <v>0.74702876559808773</v>
      </c>
      <c r="D28" s="114">
        <f>D26/D27</f>
        <v>0</v>
      </c>
      <c r="E28" s="114">
        <f>E26/E27</f>
        <v>0.65040355048334553</v>
      </c>
      <c r="F28" s="181" t="s">
        <v>335</v>
      </c>
    </row>
    <row r="29" spans="1:29">
      <c r="A29" s="109" t="s">
        <v>72</v>
      </c>
      <c r="B29" s="109" t="str">
        <f>IF(B28&gt;1.5,"多め",IF(B28&gt;1.2,"やや多め",IF(B28&gt;0.9,"ふつう",IF(B28&gt;0.7,"やや少なめ","少なめ"))))</f>
        <v>やや少なめ</v>
      </c>
      <c r="C29" s="109" t="str">
        <f>IF(AB6=1,"(比較なし)",IF(C28&gt;1.5,"多め",IF(C28&gt;1.2,"やや多め",IF(C28&gt;0.9,"ふつう",IF(C28&gt;0.7,"やや少なめ","少なめ")))))</f>
        <v>やや少なめ</v>
      </c>
      <c r="D29" s="109" t="str">
        <f>IF(D28&gt;3,"多め",IF(D28&gt;1.5,"やや多め",IF(D28&gt;0.9,"ふつう",IF(D28&gt;0.7,"やや少なめ","少なめ"))))</f>
        <v>少なめ</v>
      </c>
      <c r="E29" s="109" t="str">
        <f>IF(E28&gt;3,"多め",IF(E28&gt;1.5,"やや多め",IF(E28&gt;0.9,"ふつう",IF(E28&gt;0.7,"やや少なめ","少なめ"))))</f>
        <v>少なめ</v>
      </c>
    </row>
    <row r="45" spans="1:8">
      <c r="G45" s="181" t="s">
        <v>352</v>
      </c>
    </row>
    <row r="46" spans="1:8">
      <c r="G46" s="181" t="s">
        <v>349</v>
      </c>
    </row>
    <row r="47" spans="1:8">
      <c r="A47" s="115" t="s">
        <v>138</v>
      </c>
    </row>
    <row r="48" spans="1:8">
      <c r="A48" s="115"/>
      <c r="C48" s="109" t="s">
        <v>73</v>
      </c>
      <c r="D48" s="109" t="s">
        <v>74</v>
      </c>
      <c r="E48" s="109" t="s">
        <v>143</v>
      </c>
      <c r="F48" s="109" t="s">
        <v>146</v>
      </c>
      <c r="H48" s="109" t="s">
        <v>152</v>
      </c>
    </row>
    <row r="49" spans="1:8">
      <c r="B49" s="109" t="str">
        <f>初期設定!C51</f>
        <v>範囲1：15～120kWh　関西電力2015年7月</v>
      </c>
      <c r="C49" s="109">
        <f>IF(OR(初期設定!D49=0,初期設定!D49=""),初期設定!D50-15*D49,MIN(6,1+INT((B7+2000)/4000))*初期設定!D49)</f>
        <v>40.129999999999995</v>
      </c>
      <c r="D49" s="109">
        <f>初期設定!E51+初期設定!E54</f>
        <v>22.240000000000002</v>
      </c>
      <c r="E49" s="109">
        <f>初期設定!F51</f>
        <v>120</v>
      </c>
      <c r="F49" s="110">
        <f>IF(E49=0,IF(D49=0,0,1000000),C49+D49*E49)</f>
        <v>2708.9300000000003</v>
      </c>
      <c r="G49" s="109" t="s">
        <v>75</v>
      </c>
      <c r="H49" s="109" t="str">
        <f>IF($B$7&lt;F49,($B$7-C49)/D49,"")</f>
        <v/>
      </c>
    </row>
    <row r="50" spans="1:8">
      <c r="B50" s="109" t="str">
        <f>初期設定!C52</f>
        <v>範囲2：120～300kWh</v>
      </c>
      <c r="C50" s="109">
        <f>F49-E49*D50</f>
        <v>-731.4699999999998</v>
      </c>
      <c r="D50" s="109">
        <f>初期設定!E52+初期設定!E54</f>
        <v>28.67</v>
      </c>
      <c r="E50" s="109">
        <f>初期設定!F52</f>
        <v>300</v>
      </c>
      <c r="F50" s="110">
        <f>IF(E50=0,IF(D50=0,0,1000000),C50+D50*E50)</f>
        <v>7869.5300000000007</v>
      </c>
      <c r="G50" s="109" t="s">
        <v>127</v>
      </c>
      <c r="H50" s="109" t="str">
        <f>IF($B$7&lt;F50,($B$7-C50)/D50,"")</f>
        <v/>
      </c>
    </row>
    <row r="51" spans="1:8">
      <c r="B51" s="109" t="str">
        <f>初期設定!C53</f>
        <v>範囲3：300kWh以上</v>
      </c>
      <c r="C51" s="109">
        <f>F50-E50*D51</f>
        <v>-2222.4699999999993</v>
      </c>
      <c r="D51" s="109">
        <f>初期設定!E53+初期設定!E54</f>
        <v>33.64</v>
      </c>
      <c r="E51" s="109">
        <f>初期設定!F53</f>
        <v>0</v>
      </c>
      <c r="F51" s="110">
        <f>IF(E51=0,IF(D51=0,0,1000000),C51+D51*E51)</f>
        <v>1000000</v>
      </c>
      <c r="G51" s="109" t="s">
        <v>127</v>
      </c>
      <c r="H51" s="109">
        <f>IF($B$7&lt;F51,($B$7-C51)/D51,"")</f>
        <v>363.33145065398332</v>
      </c>
    </row>
    <row r="52" spans="1:8">
      <c r="H52" s="130">
        <f>IF(H49&lt;&gt;"",H49,IF(H50&lt;&gt;"",H50,IF(H51&lt;&gt;"",H51,B7/B23)))</f>
        <v>363.33145065398332</v>
      </c>
    </row>
    <row r="54" spans="1:8">
      <c r="A54" s="109" t="s">
        <v>139</v>
      </c>
    </row>
    <row r="55" spans="1:8">
      <c r="C55" s="109" t="s">
        <v>76</v>
      </c>
      <c r="D55" s="109" t="s">
        <v>77</v>
      </c>
      <c r="E55" s="109" t="s">
        <v>144</v>
      </c>
      <c r="F55" s="109" t="s">
        <v>146</v>
      </c>
    </row>
    <row r="56" spans="1:8">
      <c r="B56" s="109" t="str">
        <f>初期設定!C55</f>
        <v>範囲1：20m3未満　　　大阪ガス2017年6月</v>
      </c>
      <c r="C56" s="109">
        <f>初期設定!D55</f>
        <v>745.2</v>
      </c>
      <c r="D56" s="109">
        <f>初期設定!E55</f>
        <v>156.93</v>
      </c>
      <c r="E56" s="109">
        <f>初期設定!F55</f>
        <v>20</v>
      </c>
      <c r="F56" s="110">
        <f>IF(E56=0,IF(D56=0,0,1000000),C56+D56*E56)</f>
        <v>3883.8</v>
      </c>
      <c r="G56" s="109" t="s">
        <v>75</v>
      </c>
      <c r="H56" s="109">
        <f>IF($C$7&lt;F56,($C$7-C56)/D56,"")</f>
        <v>-4.7486140317338945</v>
      </c>
    </row>
    <row r="57" spans="1:8">
      <c r="B57" s="109" t="str">
        <f>初期設定!C56</f>
        <v>範囲2：20～50m3</v>
      </c>
      <c r="C57" s="109">
        <f>初期設定!D56</f>
        <v>1337.4</v>
      </c>
      <c r="D57" s="109">
        <f>初期設定!E56</f>
        <v>127.32</v>
      </c>
      <c r="E57" s="109">
        <f>初期設定!F56</f>
        <v>50</v>
      </c>
      <c r="F57" s="110">
        <f>IF(E57=0,IF(D57=0,0,1000000),C57+D57*E57)</f>
        <v>7703.4</v>
      </c>
      <c r="G57" s="109" t="s">
        <v>127</v>
      </c>
      <c r="H57" s="109">
        <f>IF($C$7&lt;F57,($C$7-C57)/D57,"")</f>
        <v>-10.504241281809614</v>
      </c>
    </row>
    <row r="58" spans="1:8">
      <c r="B58" s="109" t="str">
        <f>初期設定!C57</f>
        <v>範囲3：50m3以上</v>
      </c>
      <c r="C58" s="109">
        <f>初期設定!D57</f>
        <v>1595.9</v>
      </c>
      <c r="D58" s="109">
        <f>初期設定!E57</f>
        <v>146.91</v>
      </c>
      <c r="E58" s="109">
        <f>初期設定!F57</f>
        <v>0</v>
      </c>
      <c r="F58" s="110">
        <f>IF(E58=0,IF(D58=0,0,1000000),C58+D58*E58)</f>
        <v>1000000</v>
      </c>
      <c r="G58" s="109" t="s">
        <v>127</v>
      </c>
      <c r="H58" s="109">
        <f>IF($C$7&lt;F58,($C$7-C58)/D58,"")</f>
        <v>-10.863113470832483</v>
      </c>
    </row>
    <row r="59" spans="1:8">
      <c r="H59" s="130">
        <f>IF(C7=0,0,IF(H56&lt;&gt;"",H56,IF(H57&lt;&gt;"",H57,IF(H58&lt;&gt;"",H58,C7/D57))))</f>
        <v>0</v>
      </c>
    </row>
    <row r="60" spans="1:8">
      <c r="A60" s="109" t="s">
        <v>140</v>
      </c>
    </row>
    <row r="61" spans="1:8">
      <c r="C61" s="109" t="s">
        <v>76</v>
      </c>
      <c r="D61" s="109" t="s">
        <v>77</v>
      </c>
      <c r="E61" s="109" t="s">
        <v>145</v>
      </c>
      <c r="F61" s="109" t="s">
        <v>146</v>
      </c>
    </row>
    <row r="62" spans="1:8">
      <c r="B62" s="109" t="str">
        <f>初期設定!C58</f>
        <v>範囲1：</v>
      </c>
      <c r="C62" s="109">
        <f>初期設定!D58</f>
        <v>0</v>
      </c>
      <c r="D62" s="109">
        <f>初期設定!E58</f>
        <v>756.6</v>
      </c>
      <c r="E62" s="109">
        <f>初期設定!F58</f>
        <v>0</v>
      </c>
      <c r="F62" s="110">
        <f>IF(E62=0,IF(D62=0,0,1000000),C62+D62*E62)</f>
        <v>1000000</v>
      </c>
      <c r="G62" s="109" t="s">
        <v>75</v>
      </c>
      <c r="H62" s="109">
        <f>IF($D$7&lt;F62,($D$7-C62)/D62,"")</f>
        <v>7.9302141157811255</v>
      </c>
    </row>
    <row r="63" spans="1:8">
      <c r="B63" s="109" t="str">
        <f>初期設定!C59</f>
        <v>範囲2</v>
      </c>
      <c r="C63" s="109">
        <f>初期設定!D59</f>
        <v>0</v>
      </c>
      <c r="D63" s="109">
        <f>初期設定!E59</f>
        <v>0</v>
      </c>
      <c r="E63" s="109">
        <f>初期設定!F59</f>
        <v>0</v>
      </c>
      <c r="F63" s="110">
        <f>IF(E63=0,IF(D63=0,0,1000000),C63+D63*E63)</f>
        <v>0</v>
      </c>
      <c r="G63" s="109" t="s">
        <v>75</v>
      </c>
      <c r="H63" s="109" t="str">
        <f>IF($D$7&lt;F63,($D$7-C63)/D63,"")</f>
        <v/>
      </c>
    </row>
    <row r="64" spans="1:8">
      <c r="C64" s="117"/>
      <c r="F64" s="116"/>
      <c r="H64" s="130">
        <f>IF(H62&lt;&gt;"",H62,IF(H63&lt;&gt;"",H63,D7/C23))</f>
        <v>7.9302141157811255</v>
      </c>
    </row>
    <row r="66" spans="1:58">
      <c r="A66" s="109" t="s">
        <v>78</v>
      </c>
    </row>
    <row r="67" spans="1:58">
      <c r="B67" s="109" t="s">
        <v>79</v>
      </c>
      <c r="C67" s="109" t="str">
        <f>C25</f>
        <v>LPガス</v>
      </c>
      <c r="D67" s="109" t="s">
        <v>80</v>
      </c>
      <c r="E67" s="109" t="s">
        <v>55</v>
      </c>
      <c r="F67" s="109" t="s">
        <v>81</v>
      </c>
    </row>
    <row r="68" spans="1:58">
      <c r="A68" s="109" t="s">
        <v>306</v>
      </c>
      <c r="B68" s="118">
        <f>IF(AB6=1,H52*(0.3/3+0.7)*初期設定!D65,H52*初期設定!D65)</f>
        <v>199.83229785969084</v>
      </c>
      <c r="C68" s="118">
        <f>IF(C67="都市ガス",H59*初期設定!D66,診断計算!H64*初期設定!D67)</f>
        <v>47.422680412371136</v>
      </c>
      <c r="D68" s="118">
        <f>D26/初期設定!E60*初期設定!D68</f>
        <v>0</v>
      </c>
      <c r="E68" s="118">
        <f>E26/初期設定!E61*初期設定!D69</f>
        <v>69.313432835820905</v>
      </c>
      <c r="F68" s="118">
        <f>SUM(B68:E68)</f>
        <v>316.56841110788287</v>
      </c>
      <c r="G68" s="109" t="s">
        <v>57</v>
      </c>
      <c r="H68" s="181" t="s">
        <v>363</v>
      </c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>
        <v>1909</v>
      </c>
      <c r="W68" s="103" t="s">
        <v>364</v>
      </c>
    </row>
    <row r="69" spans="1:58">
      <c r="A69" s="109" t="s">
        <v>307</v>
      </c>
      <c r="B69" s="182">
        <f>IF(AB6=1,B100*初期設定!D65+B93*初期設定!D67,IF(B27&gt;F50,(B27-C51)/D51,(B27-C50)/D50)*初期設定!D65)</f>
        <v>243.96616853436359</v>
      </c>
      <c r="C69" s="118">
        <f>IF(C67="都市ガス",IF(C27&gt;F$57,(C27-C$58)/D$58,IF(C27&gt;F$56,(C27-C$57)/D$57,IF(C27=0,0,(C27-C$56)/D$56)))*初期設定!D66,C27/D62*初期設定!D67)</f>
        <v>63.481732693925771</v>
      </c>
      <c r="D69" s="118">
        <f>D27/初期設定!E60*初期設定!D68</f>
        <v>36.457229441650746</v>
      </c>
      <c r="E69" s="118">
        <f>E27/初期設定!E61*初期設定!D69</f>
        <v>106.5698869329831</v>
      </c>
      <c r="F69" s="118">
        <f>SUM(B69:E69)</f>
        <v>450.47501760292317</v>
      </c>
      <c r="G69" s="109" t="s">
        <v>57</v>
      </c>
      <c r="H69" s="109" t="s">
        <v>315</v>
      </c>
    </row>
    <row r="70" spans="1:58">
      <c r="B70" s="114">
        <f>B68/$F68</f>
        <v>0.6312452248799717</v>
      </c>
      <c r="C70" s="114">
        <f>C68/$F68</f>
        <v>0.14980231364970281</v>
      </c>
      <c r="D70" s="114">
        <f>D68/$F68</f>
        <v>0</v>
      </c>
      <c r="E70" s="114">
        <f>E68/$F68</f>
        <v>0.21895246147032557</v>
      </c>
      <c r="F70" s="119">
        <f>MAX(B70:E70)</f>
        <v>0.6312452248799717</v>
      </c>
    </row>
    <row r="71" spans="1:58">
      <c r="A71" s="109" t="s">
        <v>137</v>
      </c>
      <c r="B71" s="109" t="str">
        <f>IF(B70=$F70,B67,"")</f>
        <v>電気</v>
      </c>
      <c r="C71" s="109" t="str">
        <f>IF(C70=$F70,C67,"")</f>
        <v/>
      </c>
      <c r="D71" s="109" t="str">
        <f>IF(D70=$F70,D67,"")</f>
        <v/>
      </c>
      <c r="E71" s="109" t="str">
        <f>IF(E70=$F70,E67,"")</f>
        <v/>
      </c>
      <c r="F71" s="109" t="str">
        <f>B71&amp;C71&amp;D71&amp;E71</f>
        <v>電気</v>
      </c>
    </row>
    <row r="73" spans="1:58">
      <c r="A73" s="109" t="s">
        <v>122</v>
      </c>
      <c r="H73" s="109" t="s">
        <v>122</v>
      </c>
    </row>
    <row r="74" spans="1:58">
      <c r="B74" s="109" t="s">
        <v>64</v>
      </c>
      <c r="C74" s="109" t="s">
        <v>54</v>
      </c>
      <c r="D74" s="109" t="s">
        <v>65</v>
      </c>
      <c r="E74" s="109" t="s">
        <v>55</v>
      </c>
      <c r="G74" s="128" t="str">
        <f>初期設定!C73</f>
        <v>京都市</v>
      </c>
      <c r="I74" s="109" t="s">
        <v>327</v>
      </c>
      <c r="J74" s="131" t="s">
        <v>153</v>
      </c>
      <c r="K74" s="131" t="s">
        <v>154</v>
      </c>
      <c r="L74" s="131" t="s">
        <v>155</v>
      </c>
      <c r="M74" s="131" t="s">
        <v>156</v>
      </c>
      <c r="N74" s="131" t="s">
        <v>157</v>
      </c>
      <c r="O74" s="131" t="s">
        <v>158</v>
      </c>
      <c r="P74" s="131" t="s">
        <v>159</v>
      </c>
      <c r="Q74" s="131" t="s">
        <v>160</v>
      </c>
      <c r="R74" s="131" t="s">
        <v>161</v>
      </c>
      <c r="S74" s="131" t="s">
        <v>162</v>
      </c>
      <c r="T74" s="131" t="s">
        <v>163</v>
      </c>
      <c r="U74" s="131" t="s">
        <v>164</v>
      </c>
      <c r="V74" s="131" t="s">
        <v>165</v>
      </c>
      <c r="W74" s="131" t="s">
        <v>166</v>
      </c>
      <c r="X74" s="131" t="s">
        <v>167</v>
      </c>
      <c r="Y74" s="131" t="s">
        <v>168</v>
      </c>
      <c r="Z74" s="131" t="s">
        <v>169</v>
      </c>
      <c r="AA74" s="131" t="s">
        <v>170</v>
      </c>
      <c r="AB74" s="131" t="s">
        <v>171</v>
      </c>
      <c r="AC74" s="131" t="s">
        <v>172</v>
      </c>
      <c r="AD74" s="131" t="s">
        <v>173</v>
      </c>
      <c r="AE74" s="131" t="s">
        <v>174</v>
      </c>
      <c r="AF74" s="131" t="s">
        <v>175</v>
      </c>
      <c r="AG74" s="131" t="s">
        <v>176</v>
      </c>
      <c r="AH74" s="131" t="s">
        <v>177</v>
      </c>
      <c r="AI74" s="131" t="s">
        <v>178</v>
      </c>
      <c r="AJ74" s="131" t="s">
        <v>179</v>
      </c>
      <c r="AK74" s="131" t="s">
        <v>180</v>
      </c>
      <c r="AL74" s="131" t="s">
        <v>181</v>
      </c>
      <c r="AM74" s="131" t="s">
        <v>182</v>
      </c>
      <c r="AN74" s="131" t="s">
        <v>183</v>
      </c>
      <c r="AO74" s="131" t="s">
        <v>184</v>
      </c>
      <c r="AP74" s="131" t="s">
        <v>185</v>
      </c>
      <c r="AQ74" s="131" t="s">
        <v>186</v>
      </c>
      <c r="AR74" s="131" t="s">
        <v>187</v>
      </c>
      <c r="AS74" s="131" t="s">
        <v>188</v>
      </c>
      <c r="AT74" s="131" t="s">
        <v>189</v>
      </c>
      <c r="AU74" s="131" t="s">
        <v>190</v>
      </c>
      <c r="AV74" s="131" t="s">
        <v>191</v>
      </c>
      <c r="AW74" s="131" t="s">
        <v>192</v>
      </c>
      <c r="AX74" s="131" t="s">
        <v>193</v>
      </c>
      <c r="AY74" s="131" t="s">
        <v>194</v>
      </c>
      <c r="AZ74" s="131" t="s">
        <v>195</v>
      </c>
      <c r="BA74" s="131" t="s">
        <v>196</v>
      </c>
      <c r="BB74" s="131" t="s">
        <v>197</v>
      </c>
      <c r="BC74" s="131" t="s">
        <v>198</v>
      </c>
      <c r="BD74" s="131" t="s">
        <v>199</v>
      </c>
      <c r="BE74" s="131" t="s">
        <v>200</v>
      </c>
      <c r="BF74" s="131" t="s">
        <v>201</v>
      </c>
    </row>
    <row r="75" spans="1:58">
      <c r="A75" s="109">
        <v>1</v>
      </c>
      <c r="B75" s="110">
        <v>4328.5824999999995</v>
      </c>
      <c r="C75" s="110">
        <v>2978.2752380952384</v>
      </c>
      <c r="D75" s="110">
        <v>536.4735714285714</v>
      </c>
      <c r="E75" s="110">
        <v>2291.0678571428575</v>
      </c>
      <c r="F75" s="110"/>
      <c r="G75" s="133">
        <f>HLOOKUP(G$74,$I$74:$BF$79,2,FALSE)/I75</f>
        <v>0.9766171720187844</v>
      </c>
      <c r="H75" s="109" t="s">
        <v>202</v>
      </c>
      <c r="I75" s="109">
        <v>9209.75</v>
      </c>
      <c r="J75" s="132">
        <v>7568.0333333333328</v>
      </c>
      <c r="K75" s="132">
        <v>8892.0166666666682</v>
      </c>
      <c r="L75" s="132">
        <v>8455.4833333333336</v>
      </c>
      <c r="M75" s="132">
        <v>7822.0666666666648</v>
      </c>
      <c r="N75" s="132">
        <v>8133.75</v>
      </c>
      <c r="O75" s="132">
        <v>9018.7000000000007</v>
      </c>
      <c r="P75" s="132">
        <v>8979.2833333333328</v>
      </c>
      <c r="Q75" s="132">
        <v>8643.75</v>
      </c>
      <c r="R75" s="132">
        <v>8438.3166666666675</v>
      </c>
      <c r="S75" s="132">
        <v>7785.166666666667</v>
      </c>
      <c r="T75" s="132">
        <v>9217.2333333333336</v>
      </c>
      <c r="U75" s="132">
        <v>8296.0499999999993</v>
      </c>
      <c r="V75" s="132">
        <v>8982.0833333333321</v>
      </c>
      <c r="W75" s="132">
        <v>8718.9333333333325</v>
      </c>
      <c r="X75" s="132">
        <v>8638.7833333333347</v>
      </c>
      <c r="Y75" s="132">
        <v>8684.8833333333332</v>
      </c>
      <c r="Z75" s="132">
        <v>10823.633333333335</v>
      </c>
      <c r="AA75" s="132">
        <v>10442.683333333332</v>
      </c>
      <c r="AB75" s="132">
        <v>11658.533333333335</v>
      </c>
      <c r="AC75" s="132">
        <v>8615.0833333333339</v>
      </c>
      <c r="AD75" s="132">
        <v>8552</v>
      </c>
      <c r="AE75" s="132">
        <v>10186.216666666667</v>
      </c>
      <c r="AF75" s="132">
        <v>8980.0499999999993</v>
      </c>
      <c r="AG75" s="132">
        <v>8782.9166666666661</v>
      </c>
      <c r="AH75" s="132">
        <v>9408.5499999999993</v>
      </c>
      <c r="AI75" s="132">
        <v>9112.8166666666657</v>
      </c>
      <c r="AJ75" s="132">
        <v>8994.4</v>
      </c>
      <c r="AK75" s="132">
        <v>9246.1</v>
      </c>
      <c r="AL75" s="132">
        <v>7958.75</v>
      </c>
      <c r="AM75" s="132">
        <v>9095.85</v>
      </c>
      <c r="AN75" s="132">
        <v>10169.299999999999</v>
      </c>
      <c r="AO75" s="132">
        <v>8691.1666666666679</v>
      </c>
      <c r="AP75" s="132">
        <v>9122.2666666666664</v>
      </c>
      <c r="AQ75" s="132">
        <v>9466.2999999999993</v>
      </c>
      <c r="AR75" s="132">
        <v>9201.35</v>
      </c>
      <c r="AS75" s="132">
        <v>8724.3166666666675</v>
      </c>
      <c r="AT75" s="132">
        <v>11442.666666666666</v>
      </c>
      <c r="AU75" s="132">
        <v>9764.8833333333332</v>
      </c>
      <c r="AV75" s="132">
        <v>9356.4666666666672</v>
      </c>
      <c r="AW75" s="132">
        <v>8897.6833333333325</v>
      </c>
      <c r="AX75" s="132">
        <v>8273.35</v>
      </c>
      <c r="AY75" s="132">
        <v>8571.85</v>
      </c>
      <c r="AZ75" s="132">
        <v>8875.25</v>
      </c>
      <c r="BA75" s="132">
        <v>7805.35</v>
      </c>
      <c r="BB75" s="132">
        <v>8745.4833333333336</v>
      </c>
      <c r="BC75" s="132">
        <v>8259.5833333333339</v>
      </c>
      <c r="BD75" s="132">
        <v>8187.7166666666672</v>
      </c>
      <c r="BE75" s="132">
        <v>7790.3833333333323</v>
      </c>
      <c r="BF75" s="132">
        <v>8959.9666666666653</v>
      </c>
    </row>
    <row r="76" spans="1:58">
      <c r="A76" s="109">
        <v>2</v>
      </c>
      <c r="B76" s="110">
        <v>7920.3850000000002</v>
      </c>
      <c r="C76" s="110">
        <v>4753.7854761904764</v>
      </c>
      <c r="D76" s="110">
        <v>1304.9357142857143</v>
      </c>
      <c r="E76" s="110">
        <v>4022.0969047619055</v>
      </c>
      <c r="F76" s="110"/>
      <c r="G76" s="133">
        <f>HLOOKUP(G$74,$I$74:$BF$79,3,FALSE)/I76</f>
        <v>1.0712296250722293</v>
      </c>
      <c r="H76" s="109" t="s">
        <v>128</v>
      </c>
      <c r="I76" s="109">
        <v>5727.4523809523816</v>
      </c>
      <c r="J76" s="132">
        <v>5400.3</v>
      </c>
      <c r="K76" s="132">
        <v>4251.0166666666673</v>
      </c>
      <c r="L76" s="132">
        <v>5535.9666666666672</v>
      </c>
      <c r="M76" s="132">
        <v>6912.6166666666659</v>
      </c>
      <c r="N76" s="132">
        <v>4815.7833333333328</v>
      </c>
      <c r="O76" s="132">
        <v>6170.0666666666666</v>
      </c>
      <c r="P76" s="132">
        <v>6079.6166666666677</v>
      </c>
      <c r="Q76" s="132">
        <v>6398.0166666666673</v>
      </c>
      <c r="R76" s="132">
        <v>5841.6333333333341</v>
      </c>
      <c r="S76" s="132">
        <v>5317.9666666666662</v>
      </c>
      <c r="T76" s="132">
        <v>6500.7333333333336</v>
      </c>
      <c r="U76" s="132">
        <v>5734.583333333333</v>
      </c>
      <c r="V76" s="132">
        <v>6122.6333333333341</v>
      </c>
      <c r="W76" s="132">
        <v>6441.45</v>
      </c>
      <c r="X76" s="132">
        <v>6493.9166666666652</v>
      </c>
      <c r="Y76" s="132">
        <v>6683.25</v>
      </c>
      <c r="Z76" s="132">
        <v>5846.2833333333328</v>
      </c>
      <c r="AA76" s="132">
        <v>6423.3</v>
      </c>
      <c r="AB76" s="132">
        <v>6434.2333333333336</v>
      </c>
      <c r="AC76" s="132">
        <v>5109.55</v>
      </c>
      <c r="AD76" s="132">
        <v>5710.4</v>
      </c>
      <c r="AE76" s="132">
        <v>6953.1333333333341</v>
      </c>
      <c r="AF76" s="132">
        <v>7391.8</v>
      </c>
      <c r="AG76" s="132">
        <v>6160.35</v>
      </c>
      <c r="AH76" s="132">
        <v>6204.1833333333334</v>
      </c>
      <c r="AI76" s="132">
        <v>5570.8833333333323</v>
      </c>
      <c r="AJ76" s="132">
        <v>6135.416666666667</v>
      </c>
      <c r="AK76" s="132">
        <v>6025.8833333333341</v>
      </c>
      <c r="AL76" s="132">
        <v>5660.5166666666673</v>
      </c>
      <c r="AM76" s="132">
        <v>6516.9</v>
      </c>
      <c r="AN76" s="132">
        <v>4861.75</v>
      </c>
      <c r="AO76" s="132">
        <v>5381.8166666666666</v>
      </c>
      <c r="AP76" s="132">
        <v>6504.45</v>
      </c>
      <c r="AQ76" s="132">
        <v>6274.6</v>
      </c>
      <c r="AR76" s="132">
        <v>6302.9166666666652</v>
      </c>
      <c r="AS76" s="132">
        <v>5867.1833333333334</v>
      </c>
      <c r="AT76" s="132">
        <v>5314.9333333333334</v>
      </c>
      <c r="AU76" s="132">
        <v>5072.4666666666662</v>
      </c>
      <c r="AV76" s="132">
        <v>5474.2833333333338</v>
      </c>
      <c r="AW76" s="132">
        <v>5946.9</v>
      </c>
      <c r="AX76" s="132">
        <v>6034.4333333333343</v>
      </c>
      <c r="AY76" s="132">
        <v>6425.8333333333321</v>
      </c>
      <c r="AZ76" s="132">
        <v>5992.8</v>
      </c>
      <c r="BA76" s="132">
        <v>6368.1833333333334</v>
      </c>
      <c r="BB76" s="132">
        <v>5734.583333333333</v>
      </c>
      <c r="BC76" s="132">
        <v>5606.4666666666662</v>
      </c>
      <c r="BD76" s="132">
        <v>5252.1166666666668</v>
      </c>
      <c r="BE76" s="132">
        <v>6000.95</v>
      </c>
      <c r="BF76" s="132">
        <v>4910.9333333333343</v>
      </c>
    </row>
    <row r="77" spans="1:58">
      <c r="A77" s="109">
        <v>3</v>
      </c>
      <c r="B77" s="110">
        <v>9117.6525000000001</v>
      </c>
      <c r="C77" s="110">
        <v>5727.4523809523816</v>
      </c>
      <c r="D77" s="110">
        <v>1304.9357142857143</v>
      </c>
      <c r="E77" s="110">
        <v>4989.4366666666674</v>
      </c>
      <c r="F77" s="110"/>
      <c r="G77" s="133">
        <f>HLOOKUP(G$74,$I$74:$BF$79,4,FALSE)/I77</f>
        <v>1.0829353112956321</v>
      </c>
      <c r="H77" s="109" t="s">
        <v>203</v>
      </c>
      <c r="I77" s="109">
        <v>4997.9285714285706</v>
      </c>
      <c r="J77" s="132">
        <v>4694.1166666666659</v>
      </c>
      <c r="K77" s="132">
        <v>6506.5166666666664</v>
      </c>
      <c r="L77" s="132">
        <v>5370.6</v>
      </c>
      <c r="M77" s="132">
        <v>5764.4166666666679</v>
      </c>
      <c r="N77" s="132">
        <v>5591.1333333333323</v>
      </c>
      <c r="O77" s="132">
        <v>7452.2166666666672</v>
      </c>
      <c r="P77" s="132">
        <v>6194.5</v>
      </c>
      <c r="Q77" s="132">
        <v>4224.166666666667</v>
      </c>
      <c r="R77" s="132">
        <v>6451.2166666666662</v>
      </c>
      <c r="S77" s="132">
        <v>5059.6499999999996</v>
      </c>
      <c r="T77" s="132">
        <v>5373.15</v>
      </c>
      <c r="U77" s="132">
        <v>4906.3666666666677</v>
      </c>
      <c r="V77" s="132">
        <v>5680.7</v>
      </c>
      <c r="W77" s="132">
        <v>5752.6833333333334</v>
      </c>
      <c r="X77" s="132">
        <v>5439.7166666666662</v>
      </c>
      <c r="Y77" s="132">
        <v>6110.3666666666677</v>
      </c>
      <c r="Z77" s="132">
        <v>6101.75</v>
      </c>
      <c r="AA77" s="132">
        <v>6176.1666666666679</v>
      </c>
      <c r="AB77" s="132">
        <v>5719.85</v>
      </c>
      <c r="AC77" s="132">
        <v>5906.9666666666672</v>
      </c>
      <c r="AD77" s="132">
        <v>5405.9333333333334</v>
      </c>
      <c r="AE77" s="132">
        <v>4824.3999999999996</v>
      </c>
      <c r="AF77" s="132">
        <v>4983.1166666666668</v>
      </c>
      <c r="AG77" s="132">
        <v>5073.7</v>
      </c>
      <c r="AH77" s="132">
        <v>4081.3333333333339</v>
      </c>
      <c r="AI77" s="132">
        <v>5571.55</v>
      </c>
      <c r="AJ77" s="132">
        <v>5412.4333333333334</v>
      </c>
      <c r="AK77" s="132">
        <v>3863.4666666666658</v>
      </c>
      <c r="AL77" s="132">
        <v>4509.75</v>
      </c>
      <c r="AM77" s="132">
        <v>5546.0166666666664</v>
      </c>
      <c r="AN77" s="132">
        <v>3968.1833333333329</v>
      </c>
      <c r="AO77" s="132">
        <v>4132.1000000000004</v>
      </c>
      <c r="AP77" s="132">
        <v>5797.3166666666657</v>
      </c>
      <c r="AQ77" s="132">
        <v>4390.166666666667</v>
      </c>
      <c r="AR77" s="132">
        <v>5057.5166666666664</v>
      </c>
      <c r="AS77" s="132">
        <v>4559.3833333333332</v>
      </c>
      <c r="AT77" s="132">
        <v>3303.7166666666672</v>
      </c>
      <c r="AU77" s="132">
        <v>4262.95</v>
      </c>
      <c r="AV77" s="132">
        <v>3992.9166666666674</v>
      </c>
      <c r="AW77" s="132">
        <v>4145.333333333333</v>
      </c>
      <c r="AX77" s="132">
        <v>4795.5</v>
      </c>
      <c r="AY77" s="132">
        <v>5374.75</v>
      </c>
      <c r="AZ77" s="132">
        <v>5094.6166666666659</v>
      </c>
      <c r="BA77" s="132">
        <v>6291.833333333333</v>
      </c>
      <c r="BB77" s="132">
        <v>5375.6166666666659</v>
      </c>
      <c r="BC77" s="132">
        <v>4778.5666666666666</v>
      </c>
      <c r="BD77" s="132">
        <v>4470.2166666666672</v>
      </c>
      <c r="BE77" s="132">
        <v>4653.6333333333332</v>
      </c>
      <c r="BF77" s="132">
        <v>5818.8833333333341</v>
      </c>
    </row>
    <row r="78" spans="1:58">
      <c r="A78" s="109">
        <v>4</v>
      </c>
      <c r="B78" s="110">
        <v>9854.4325000000008</v>
      </c>
      <c r="C78" s="110">
        <v>6300.1976190476207</v>
      </c>
      <c r="D78" s="110">
        <v>1232.4392857142857</v>
      </c>
      <c r="E78" s="110">
        <v>5905.8638095238102</v>
      </c>
      <c r="F78" s="110"/>
      <c r="G78" s="133">
        <f>HLOOKUP(G$74,$I$74:$BF$79,5,FALSE)/I78</f>
        <v>0.28507151419610161</v>
      </c>
      <c r="H78" s="109" t="s">
        <v>204</v>
      </c>
      <c r="I78" s="109">
        <v>1449.9285714285713</v>
      </c>
      <c r="J78" s="132">
        <v>3771.5</v>
      </c>
      <c r="K78" s="132">
        <v>4886.2833333333328</v>
      </c>
      <c r="L78" s="132">
        <v>3470.6</v>
      </c>
      <c r="M78" s="132">
        <v>1491.55</v>
      </c>
      <c r="N78" s="132">
        <v>4283.55</v>
      </c>
      <c r="O78" s="132">
        <v>3119.1</v>
      </c>
      <c r="P78" s="132">
        <v>2085.6333333333337</v>
      </c>
      <c r="Q78" s="132">
        <v>1160.45</v>
      </c>
      <c r="R78" s="132">
        <v>1100.0333333333335</v>
      </c>
      <c r="S78" s="132">
        <v>968.36666666666645</v>
      </c>
      <c r="T78" s="132">
        <v>374.13333333333338</v>
      </c>
      <c r="U78" s="132">
        <v>441.73333333333341</v>
      </c>
      <c r="V78" s="132">
        <v>231.66666666666666</v>
      </c>
      <c r="W78" s="132">
        <v>427.7166666666667</v>
      </c>
      <c r="X78" s="132">
        <v>310.89999999999998</v>
      </c>
      <c r="Y78" s="132">
        <v>1370.2</v>
      </c>
      <c r="Z78" s="132">
        <v>2678.9833333333331</v>
      </c>
      <c r="AA78" s="132">
        <v>1917.7333333333336</v>
      </c>
      <c r="AB78" s="132">
        <v>1673.6666666666667</v>
      </c>
      <c r="AC78" s="132">
        <v>1392.5666666666666</v>
      </c>
      <c r="AD78" s="132">
        <v>1992.1</v>
      </c>
      <c r="AE78" s="132">
        <v>915.2</v>
      </c>
      <c r="AF78" s="132">
        <v>585.66666666666663</v>
      </c>
      <c r="AG78" s="132">
        <v>454.7</v>
      </c>
      <c r="AH78" s="132">
        <v>885.08333333333337</v>
      </c>
      <c r="AI78" s="132">
        <v>711.66666666666652</v>
      </c>
      <c r="AJ78" s="132">
        <v>413.33333333333331</v>
      </c>
      <c r="AK78" s="132">
        <v>195.55</v>
      </c>
      <c r="AL78" s="132">
        <v>312.55</v>
      </c>
      <c r="AM78" s="132">
        <v>592.65</v>
      </c>
      <c r="AN78" s="132">
        <v>842.4</v>
      </c>
      <c r="AO78" s="132">
        <v>1327.2166666666665</v>
      </c>
      <c r="AP78" s="132">
        <v>979.33333333333337</v>
      </c>
      <c r="AQ78" s="132">
        <v>933.78333333333319</v>
      </c>
      <c r="AR78" s="132">
        <v>764.9666666666667</v>
      </c>
      <c r="AS78" s="132">
        <v>1074.25</v>
      </c>
      <c r="AT78" s="132">
        <v>956.16666666666663</v>
      </c>
      <c r="AU78" s="132">
        <v>778</v>
      </c>
      <c r="AV78" s="132">
        <v>758.93333333333328</v>
      </c>
      <c r="AW78" s="132">
        <v>548.73333333333323</v>
      </c>
      <c r="AX78" s="132">
        <v>900.7</v>
      </c>
      <c r="AY78" s="132">
        <v>542.01666666666665</v>
      </c>
      <c r="AZ78" s="132">
        <v>958.1</v>
      </c>
      <c r="BA78" s="132">
        <v>626.75</v>
      </c>
      <c r="BB78" s="132">
        <v>688.33333333333337</v>
      </c>
      <c r="BC78" s="132">
        <v>735.11666666666667</v>
      </c>
      <c r="BD78" s="132">
        <v>603.58333333333337</v>
      </c>
      <c r="BE78" s="132">
        <v>468.98333333333341</v>
      </c>
      <c r="BF78" s="132">
        <v>365.98333333333329</v>
      </c>
    </row>
    <row r="79" spans="1:58">
      <c r="A79" s="109">
        <v>5</v>
      </c>
      <c r="B79" s="110">
        <v>11420.09</v>
      </c>
      <c r="C79" s="110">
        <v>6701.119285714286</v>
      </c>
      <c r="D79" s="110">
        <v>1594.9214285714286</v>
      </c>
      <c r="E79" s="110">
        <v>6414.99</v>
      </c>
      <c r="F79" s="110"/>
      <c r="G79" s="133">
        <f>HLOOKUP(G$74,$I$74:$BF$79,6,FALSE)/I79</f>
        <v>0.48379732470354592</v>
      </c>
      <c r="H79" s="109" t="s">
        <v>205</v>
      </c>
      <c r="I79" s="109">
        <v>5091.2619047619055</v>
      </c>
      <c r="J79" s="132">
        <v>3983.6736111111113</v>
      </c>
      <c r="K79" s="132">
        <v>3806.4097222222226</v>
      </c>
      <c r="L79" s="132">
        <v>4168.4513888888887</v>
      </c>
      <c r="M79" s="132">
        <v>4148.6736111111104</v>
      </c>
      <c r="N79" s="132">
        <v>5572.7847222222226</v>
      </c>
      <c r="O79" s="132">
        <v>5077.6319444444443</v>
      </c>
      <c r="P79" s="132">
        <v>5063.166666666667</v>
      </c>
      <c r="Q79" s="132">
        <v>6005.2152777777783</v>
      </c>
      <c r="R79" s="132">
        <v>5611.5486111111122</v>
      </c>
      <c r="S79" s="132">
        <v>5777.3611111111122</v>
      </c>
      <c r="T79" s="132">
        <v>2922.4930555555552</v>
      </c>
      <c r="U79" s="132">
        <v>3230.1458333333335</v>
      </c>
      <c r="V79" s="132">
        <v>1461.5555555555554</v>
      </c>
      <c r="W79" s="132">
        <v>2792.9305555555561</v>
      </c>
      <c r="X79" s="132">
        <v>2243.4305555555557</v>
      </c>
      <c r="Y79" s="132">
        <v>5119.9722222222226</v>
      </c>
      <c r="Z79" s="132">
        <v>6368.958333333333</v>
      </c>
      <c r="AA79" s="132">
        <v>5602.2847222222226</v>
      </c>
      <c r="AB79" s="132">
        <v>5283.5347222222226</v>
      </c>
      <c r="AC79" s="132">
        <v>4718.9652777777783</v>
      </c>
      <c r="AD79" s="132">
        <v>6083.916666666667</v>
      </c>
      <c r="AE79" s="132">
        <v>5482.5486111111122</v>
      </c>
      <c r="AF79" s="132">
        <v>3997.0277777777774</v>
      </c>
      <c r="AG79" s="132">
        <v>3351.5</v>
      </c>
      <c r="AH79" s="132">
        <v>5788.354166666667</v>
      </c>
      <c r="AI79" s="132">
        <v>4367.104166666667</v>
      </c>
      <c r="AJ79" s="132">
        <v>2463.1388888888891</v>
      </c>
      <c r="AK79" s="132">
        <v>1345.0138888888889</v>
      </c>
      <c r="AL79" s="132">
        <v>2647.0069444444448</v>
      </c>
      <c r="AM79" s="132">
        <v>3637.2638888888887</v>
      </c>
      <c r="AN79" s="132">
        <v>4110.4097222222226</v>
      </c>
      <c r="AO79" s="132">
        <v>4652.0555555555557</v>
      </c>
      <c r="AP79" s="132">
        <v>5699.0069444444453</v>
      </c>
      <c r="AQ79" s="132">
        <v>4758.979166666667</v>
      </c>
      <c r="AR79" s="132">
        <v>4310.145833333333</v>
      </c>
      <c r="AS79" s="132">
        <v>7451.2361111111104</v>
      </c>
      <c r="AT79" s="132">
        <v>4816.604166666667</v>
      </c>
      <c r="AU79" s="132">
        <v>4649.3888888888887</v>
      </c>
      <c r="AV79" s="132">
        <v>3978.7847222222222</v>
      </c>
      <c r="AW79" s="132">
        <v>4190.6805555555557</v>
      </c>
      <c r="AX79" s="132">
        <v>3921.8888888888887</v>
      </c>
      <c r="AY79" s="132">
        <v>3957.6111111111109</v>
      </c>
      <c r="AZ79" s="132">
        <v>5042.0486111111104</v>
      </c>
      <c r="BA79" s="132">
        <v>2823.2847222222222</v>
      </c>
      <c r="BB79" s="132">
        <v>4111.4305555555557</v>
      </c>
      <c r="BC79" s="132">
        <v>5775.1319444444453</v>
      </c>
      <c r="BD79" s="132">
        <v>5034.3611111111104</v>
      </c>
      <c r="BE79" s="132">
        <v>5401.166666666667</v>
      </c>
      <c r="BF79" s="132">
        <v>3177.125</v>
      </c>
    </row>
    <row r="80" spans="1:58">
      <c r="A80" s="109">
        <v>6</v>
      </c>
      <c r="B80" s="110">
        <v>14275.112500000001</v>
      </c>
      <c r="C80" s="110">
        <v>6815.668333333334</v>
      </c>
      <c r="D80" s="110">
        <v>2421.380714285714</v>
      </c>
      <c r="E80" s="110">
        <v>6771.3783333333349</v>
      </c>
      <c r="F80" s="110"/>
      <c r="G80" s="109" t="s">
        <v>207</v>
      </c>
    </row>
    <row r="81" spans="1:6">
      <c r="A81" s="109" t="s">
        <v>300</v>
      </c>
      <c r="B81" s="110"/>
      <c r="C81" s="110"/>
      <c r="D81" s="110"/>
      <c r="E81" s="110"/>
      <c r="F81" s="110"/>
    </row>
    <row r="82" spans="1:6">
      <c r="A82" s="109" t="s">
        <v>303</v>
      </c>
      <c r="B82" s="110"/>
      <c r="C82" s="110"/>
      <c r="D82" s="110"/>
      <c r="E82" s="110"/>
    </row>
    <row r="84" spans="1:6">
      <c r="A84" s="109" t="s">
        <v>208</v>
      </c>
    </row>
    <row r="85" spans="1:6">
      <c r="A85" s="109" t="str">
        <f>G74</f>
        <v>京都市</v>
      </c>
      <c r="B85" s="134">
        <f>G75</f>
        <v>0.9766171720187844</v>
      </c>
      <c r="C85" s="134">
        <f>G76</f>
        <v>1.0712296250722293</v>
      </c>
      <c r="D85" s="134">
        <f>G78</f>
        <v>0.28507151419610161</v>
      </c>
      <c r="E85" s="134">
        <f>G79</f>
        <v>0.48379732470354592</v>
      </c>
    </row>
    <row r="87" spans="1:6">
      <c r="A87" s="109" t="s">
        <v>301</v>
      </c>
    </row>
    <row r="88" spans="1:6">
      <c r="A88" s="109" t="s">
        <v>302</v>
      </c>
      <c r="B88" s="177">
        <f>9618/8762</f>
        <v>1.0976945902761928</v>
      </c>
      <c r="C88" s="177">
        <f>5133/6100</f>
        <v>0.84147540983606561</v>
      </c>
      <c r="D88" s="177">
        <f>1898/828</f>
        <v>2.2922705314009661</v>
      </c>
      <c r="E88" s="177">
        <f>6228/3415</f>
        <v>1.8237188872620791</v>
      </c>
    </row>
    <row r="90" spans="1:6">
      <c r="A90" s="109" t="s">
        <v>305</v>
      </c>
    </row>
    <row r="91" spans="1:6">
      <c r="B91" s="109">
        <f>IF(初期設定!E59="",初期設定!E58,初期設定!E59)</f>
        <v>756.6</v>
      </c>
      <c r="D91" s="181" t="s">
        <v>331</v>
      </c>
    </row>
    <row r="92" spans="1:6">
      <c r="B92" s="109">
        <f>IF(初期設定!D59="",IF(初期設定!E59="",初期設定!D58,初期設定!D59),初期設定!D59)</f>
        <v>0</v>
      </c>
      <c r="D92" s="181" t="s">
        <v>332</v>
      </c>
    </row>
    <row r="93" spans="1:6">
      <c r="B93" s="109">
        <f>INDEX(C15:C20,$G7)/診断計算!C22</f>
        <v>12.615549116997796</v>
      </c>
      <c r="C93" s="109" t="s">
        <v>309</v>
      </c>
      <c r="D93" s="181" t="s">
        <v>333</v>
      </c>
    </row>
    <row r="94" spans="1:6">
      <c r="B94" s="109">
        <f>B93*30000</f>
        <v>378466.47350993386</v>
      </c>
      <c r="C94" s="109" t="s">
        <v>310</v>
      </c>
    </row>
    <row r="95" spans="1:6">
      <c r="B95" s="109">
        <f>B94/860</f>
        <v>440.07729477899284</v>
      </c>
      <c r="C95" s="109" t="s">
        <v>311</v>
      </c>
      <c r="D95" s="109" t="s">
        <v>312</v>
      </c>
    </row>
    <row r="96" spans="1:6">
      <c r="B96" s="109">
        <f>B95*B23</f>
        <v>11516.822804366244</v>
      </c>
      <c r="C96" s="109" t="s">
        <v>313</v>
      </c>
      <c r="D96" s="109" t="s">
        <v>314</v>
      </c>
    </row>
    <row r="97" spans="1:4">
      <c r="B97" s="109">
        <f>B96/B104</f>
        <v>3838.9409347887481</v>
      </c>
      <c r="C97" s="109" t="s">
        <v>313</v>
      </c>
      <c r="D97" s="181" t="s">
        <v>334</v>
      </c>
    </row>
    <row r="99" spans="1:4">
      <c r="B99" s="109">
        <f>INDEX(B15:B20,$G7)*B23/B22*IF(AD7=2,B88,1)</f>
        <v>12699.388017265437</v>
      </c>
      <c r="C99" s="109" t="s">
        <v>319</v>
      </c>
      <c r="D99" s="109" t="s">
        <v>317</v>
      </c>
    </row>
    <row r="100" spans="1:4">
      <c r="B100" s="109">
        <f>IF(B99&gt;F50,(B99-C51)/D51,IF(B99&gt;F49,(B99-C50)/D$50,(B99-C$49)/D49))</f>
        <v>443.57485188066102</v>
      </c>
      <c r="C100" s="109" t="s">
        <v>318</v>
      </c>
      <c r="D100" s="109" t="s">
        <v>316</v>
      </c>
    </row>
    <row r="103" spans="1:4">
      <c r="A103" s="181" t="s">
        <v>336</v>
      </c>
    </row>
    <row r="104" spans="1:4">
      <c r="B104" s="109">
        <v>3</v>
      </c>
      <c r="C104" s="181" t="s">
        <v>41</v>
      </c>
      <c r="D104" s="181" t="s">
        <v>337</v>
      </c>
    </row>
    <row r="105" spans="1:4">
      <c r="A105" s="181" t="s">
        <v>338</v>
      </c>
    </row>
    <row r="106" spans="1:4">
      <c r="B106" s="109">
        <v>1890</v>
      </c>
      <c r="C106" s="181" t="s">
        <v>319</v>
      </c>
    </row>
    <row r="107" spans="1:4">
      <c r="A107" s="181"/>
    </row>
    <row r="108" spans="1:4">
      <c r="C108" s="181"/>
    </row>
    <row r="110" spans="1:4">
      <c r="A110" s="181"/>
    </row>
  </sheetData>
  <sheetProtection selectLockedCells="1" selectUnlockedCells="1"/>
  <phoneticPr fontId="3"/>
  <pageMargins left="0.75" right="0.75" top="1" bottom="1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U53"/>
  <sheetViews>
    <sheetView topLeftCell="A18" workbookViewId="0">
      <selection activeCell="J53" sqref="J53"/>
    </sheetView>
  </sheetViews>
  <sheetFormatPr defaultColWidth="0" defaultRowHeight="13.5"/>
  <cols>
    <col min="1" max="5" width="9" style="29" customWidth="1"/>
    <col min="6" max="6" width="5" style="29" customWidth="1"/>
    <col min="7" max="7" width="9" style="29" customWidth="1"/>
    <col min="8" max="8" width="12.375" style="29" customWidth="1"/>
    <col min="9" max="9" width="14.125" style="29" customWidth="1"/>
    <col min="10" max="10" width="1.625" style="29" customWidth="1"/>
    <col min="11" max="11" width="1.125" style="29" hidden="1" customWidth="1"/>
    <col min="12" max="253" width="0" style="29" hidden="1" customWidth="1"/>
    <col min="254" max="255" width="9" style="29" hidden="1" customWidth="1"/>
    <col min="256" max="16384" width="0" style="29" hidden="1"/>
  </cols>
  <sheetData>
    <row r="1" spans="1:9">
      <c r="A1" s="29" t="str">
        <f>初期設定!C5</f>
        <v>エコライフチェック2019</v>
      </c>
      <c r="H1" s="198">
        <f ca="1">NOW()</f>
        <v>43728.8036130787</v>
      </c>
      <c r="I1" s="198"/>
    </row>
    <row r="3" spans="1:9" ht="30.75">
      <c r="B3" s="30" t="s">
        <v>30</v>
      </c>
      <c r="C3" s="31"/>
      <c r="D3" s="31"/>
      <c r="E3" s="31"/>
      <c r="F3" s="31"/>
      <c r="G3" s="31"/>
      <c r="H3" s="31"/>
      <c r="I3" s="147" t="str">
        <f>IF(診断計算!AC7="","",診断計算!AC7&amp;" 様　　　")</f>
        <v>sample 様　　　</v>
      </c>
    </row>
    <row r="4" spans="1:9" ht="18" customHeight="1"/>
    <row r="5" spans="1:9" ht="17.25">
      <c r="A5" s="32" t="s">
        <v>33</v>
      </c>
    </row>
    <row r="6" spans="1:9" ht="15.75" customHeight="1">
      <c r="E6" s="29" t="s">
        <v>288</v>
      </c>
      <c r="G6" s="199" t="str">
        <f>"　取組み項目を、「"&amp;初期設定!C9&amp;"」「"&amp;初期設定!C10&amp;"」「"&amp;初期設定!C11&amp;"」「"&amp;初期設定!C12&amp;"」「"&amp;初期設定!C13&amp;"」の5種類に分類して、得点を左のグラフにしてみました。5角形が大きいほど、よく取組めていることを示しています。"</f>
        <v>　取組み項目を、「台所」「部屋・生活」「風呂・洗面」「掃除洗濯」「買い物・外出」の5種類に分類して、得点を左のグラフにしてみました。5角形が大きいほど、よく取組めていることを示しています。</v>
      </c>
      <c r="H6" s="199"/>
      <c r="I6" s="199"/>
    </row>
    <row r="7" spans="1:9" ht="11.25" customHeight="1">
      <c r="G7" s="199"/>
      <c r="H7" s="199"/>
      <c r="I7" s="199"/>
    </row>
    <row r="8" spans="1:9">
      <c r="G8" s="199"/>
      <c r="H8" s="199"/>
      <c r="I8" s="199"/>
    </row>
    <row r="9" spans="1:9" ht="13.5" customHeight="1">
      <c r="G9" s="199"/>
      <c r="H9" s="199"/>
      <c r="I9" s="199"/>
    </row>
    <row r="10" spans="1:9">
      <c r="G10" s="199"/>
      <c r="H10" s="199"/>
      <c r="I10" s="199"/>
    </row>
    <row r="11" spans="1:9" ht="12" customHeight="1">
      <c r="G11" s="199" t="str">
        <f>"　"&amp;診断計算!$P$16&amp;診断計算!$P$17</f>
        <v>　部屋・生活、掃除洗濯についてよく取り組めています。</v>
      </c>
      <c r="H11" s="199"/>
      <c r="I11" s="199"/>
    </row>
    <row r="12" spans="1:9">
      <c r="G12" s="199"/>
      <c r="H12" s="199"/>
      <c r="I12" s="199"/>
    </row>
    <row r="13" spans="1:9" ht="13.5" customHeight="1">
      <c r="G13" s="199"/>
      <c r="H13" s="199"/>
      <c r="I13" s="199"/>
    </row>
    <row r="14" spans="1:9">
      <c r="G14" s="199"/>
      <c r="H14" s="199"/>
      <c r="I14" s="199"/>
    </row>
    <row r="15" spans="1:9" ht="12" customHeight="1">
      <c r="G15" s="199" t="str">
        <f ca="1">"　"&amp;IF(AVERAGE(診断計算!$J$14:$N$14)=100,"とてもよく取り組めています、ぜひ自分で取り組んでよかったことは、周りの人にもすすめてみましょう。",診断計算!$AC$21&amp;"、"&amp;診断計算!$AB$24&amp;"といった取り組みをすすめてみてください。")</f>
        <v>　「エコマーク商品など環境にいい商品を意識的に選んで購入する」、「シャワーで使用するお湯を少なくするよう気をつける」といった取り組みをすすめてみてください。</v>
      </c>
      <c r="H15" s="199"/>
      <c r="I15" s="199"/>
    </row>
    <row r="16" spans="1:9">
      <c r="G16" s="199"/>
      <c r="H16" s="199"/>
      <c r="I16" s="199"/>
    </row>
    <row r="17" spans="1:9">
      <c r="G17" s="199"/>
      <c r="H17" s="199"/>
      <c r="I17" s="199"/>
    </row>
    <row r="18" spans="1:9">
      <c r="G18" s="199"/>
      <c r="H18" s="199"/>
      <c r="I18" s="199"/>
    </row>
    <row r="19" spans="1:9">
      <c r="G19" s="199"/>
      <c r="H19" s="199"/>
      <c r="I19" s="199"/>
    </row>
    <row r="22" spans="1:9" ht="6.75" customHeight="1"/>
    <row r="23" spans="1:9" ht="17.25">
      <c r="A23" s="32" t="s">
        <v>45</v>
      </c>
    </row>
    <row r="24" spans="1:9" ht="17.25" customHeight="1">
      <c r="G24" s="196" t="str">
        <f>"光熱費・ガソリン代を"&amp;初期設定!C73&amp;IF(診断計算!AD7=2,"郊外","")&amp;"の"&amp;診断計算!A27&amp;IF(診断計算!AB6=1,"(オール電化)","")&amp;"と比較しました。"</f>
        <v>光熱費・ガソリン代を京都市郊外の4人家族の標準と比較しました。</v>
      </c>
      <c r="H24" s="196"/>
      <c r="I24" s="196"/>
    </row>
    <row r="25" spans="1:9">
      <c r="G25" s="197"/>
      <c r="H25" s="197"/>
      <c r="I25" s="197"/>
    </row>
    <row r="26" spans="1:9">
      <c r="G26" s="33"/>
      <c r="H26" s="34" t="s">
        <v>32</v>
      </c>
      <c r="I26" s="34" t="s">
        <v>31</v>
      </c>
    </row>
    <row r="27" spans="1:9" ht="33" customHeight="1">
      <c r="G27" s="33" t="s">
        <v>26</v>
      </c>
      <c r="H27" s="35" t="str">
        <f>ROUND(診断計算!B28,1)&amp;"倍"</f>
        <v>0.8倍</v>
      </c>
      <c r="I27" s="36" t="str">
        <f>診断計算!B29</f>
        <v>やや少なめ</v>
      </c>
    </row>
    <row r="28" spans="1:9" ht="33" customHeight="1">
      <c r="G28" s="33" t="s">
        <v>27</v>
      </c>
      <c r="H28" s="35" t="str">
        <f>IF(診断計算!AB6=1,"- 倍",ROUND(診断計算!C28,1)&amp;"倍")</f>
        <v>0.7倍</v>
      </c>
      <c r="I28" s="36" t="str">
        <f>診断計算!C29</f>
        <v>やや少なめ</v>
      </c>
    </row>
    <row r="29" spans="1:9" ht="33" customHeight="1">
      <c r="G29" s="33" t="s">
        <v>28</v>
      </c>
      <c r="H29" s="35" t="str">
        <f>ROUND(診断計算!D28,1)&amp;"倍"</f>
        <v>0倍</v>
      </c>
      <c r="I29" s="36" t="str">
        <f>診断計算!D29</f>
        <v>少なめ</v>
      </c>
    </row>
    <row r="30" spans="1:9" ht="33" customHeight="1">
      <c r="G30" s="33" t="s">
        <v>29</v>
      </c>
      <c r="H30" s="35" t="str">
        <f>ROUND(診断計算!E28,1)&amp;"倍"</f>
        <v>0.7倍</v>
      </c>
      <c r="I30" s="36" t="str">
        <f>診断計算!E29</f>
        <v>少なめ</v>
      </c>
    </row>
    <row r="31" spans="1:9" ht="4.5" customHeight="1"/>
    <row r="32" spans="1:9" ht="4.5" customHeight="1"/>
    <row r="33" spans="1:9" ht="4.5" customHeight="1"/>
    <row r="34" spans="1:9" ht="4.5" customHeight="1"/>
    <row r="35" spans="1:9" ht="17.25">
      <c r="A35" s="32" t="s">
        <v>35</v>
      </c>
    </row>
    <row r="36" spans="1:9" ht="17.25" customHeight="1">
      <c r="E36" s="29" t="s">
        <v>36</v>
      </c>
    </row>
    <row r="37" spans="1:9" ht="17.25" customHeight="1">
      <c r="F37" s="29" t="s">
        <v>37</v>
      </c>
      <c r="H37" s="37">
        <f>診断計算!F68</f>
        <v>316.56841110788287</v>
      </c>
      <c r="I37" s="29" t="s">
        <v>39</v>
      </c>
    </row>
    <row r="38" spans="1:9" ht="17.25" customHeight="1">
      <c r="F38" s="29" t="s">
        <v>40</v>
      </c>
      <c r="H38" s="38">
        <f>ROUND(H37*243,-2)</f>
        <v>76900</v>
      </c>
      <c r="I38" s="29" t="s">
        <v>38</v>
      </c>
    </row>
    <row r="39" spans="1:9" ht="17.25" customHeight="1">
      <c r="F39" s="29" t="str">
        <f>診断計算!G7&amp;"人家族標準の"</f>
        <v>4人家族標準の</v>
      </c>
      <c r="H39" s="37">
        <f>診断計算!F68/診断計算!F69</f>
        <v>0.70274354567410446</v>
      </c>
      <c r="I39" s="29" t="s">
        <v>41</v>
      </c>
    </row>
    <row r="40" spans="1:9" ht="14.25" customHeight="1"/>
    <row r="41" spans="1:9" ht="11.25" customHeight="1">
      <c r="G41" s="195" t="str">
        <f>"　あなたの家庭では、"&amp;診断計算!G7&amp;"人家族標準と比べて、"&amp;ROUND(H39,1)&amp;"倍の二酸化炭素が出ています。この中でいちばん割合が多いのは、"&amp;診断計算!F71&amp;"で、家庭全体の"&amp;ROUND(診断計算!F70*100,1)&amp;"％を占めています。"</f>
        <v>　あなたの家庭では、4人家族標準と比べて、0.7倍の二酸化炭素が出ています。この中でいちばん割合が多いのは、電気で、家庭全体の63.1％を占めています。</v>
      </c>
      <c r="H41" s="195"/>
      <c r="I41" s="195"/>
    </row>
    <row r="42" spans="1:9" ht="17.25" customHeight="1">
      <c r="G42" s="195"/>
      <c r="H42" s="195"/>
      <c r="I42" s="195"/>
    </row>
    <row r="43" spans="1:9" ht="17.25" customHeight="1">
      <c r="G43" s="195"/>
      <c r="H43" s="195"/>
      <c r="I43" s="195"/>
    </row>
    <row r="44" spans="1:9" ht="17.25" customHeight="1">
      <c r="G44" s="195"/>
      <c r="H44" s="195"/>
      <c r="I44" s="195"/>
    </row>
    <row r="45" spans="1:9" ht="17.25" customHeight="1">
      <c r="G45" s="195"/>
      <c r="H45" s="195"/>
      <c r="I45" s="195"/>
    </row>
    <row r="46" spans="1:9" ht="17.25" customHeight="1">
      <c r="G46" s="195" t="s">
        <v>44</v>
      </c>
      <c r="H46" s="195"/>
      <c r="I46" s="195"/>
    </row>
    <row r="47" spans="1:9" ht="17.25" customHeight="1">
      <c r="G47" s="195"/>
      <c r="H47" s="195"/>
      <c r="I47" s="195"/>
    </row>
    <row r="48" spans="1:9" ht="17.25" customHeight="1">
      <c r="G48" s="195"/>
      <c r="H48" s="195"/>
      <c r="I48" s="195"/>
    </row>
    <row r="49" spans="7:10" ht="17.25" customHeight="1">
      <c r="G49" s="195"/>
      <c r="H49" s="195"/>
      <c r="I49" s="195"/>
    </row>
    <row r="50" spans="7:10" ht="17.25" customHeight="1">
      <c r="G50" s="195"/>
      <c r="H50" s="195"/>
      <c r="I50" s="195"/>
    </row>
    <row r="51" spans="7:10" ht="17.25" customHeight="1"/>
    <row r="52" spans="7:10" ht="6" customHeight="1"/>
    <row r="53" spans="7:10" ht="14.25" customHeight="1">
      <c r="J53" s="100" t="s">
        <v>361</v>
      </c>
    </row>
  </sheetData>
  <mergeCells count="7">
    <mergeCell ref="G46:I50"/>
    <mergeCell ref="G24:I25"/>
    <mergeCell ref="H1:I1"/>
    <mergeCell ref="G41:I45"/>
    <mergeCell ref="G15:I19"/>
    <mergeCell ref="G11:I14"/>
    <mergeCell ref="G6:I10"/>
  </mergeCells>
  <phoneticPr fontId="3"/>
  <dataValidations count="1">
    <dataValidation type="decimal" allowBlank="1" showInputMessage="1" showErrorMessage="1" sqref="G3:I10 G26:G65536 I52:I53 H1 K1:IV1048576 H28:I28 H2 I2 G11:I21 A1:B1 G1:G2 A2:A65536 G23:I25 B2:B65536 E6:E7 G22:I22 C1:D1048576 F1:F1048576 E1:E5 E8:E65536 H29:H51 H26:H27 I26:I27 I29:I51 J54:J65536 H52 H53 H54:I65536 J1:J50 J51:J53">
      <formula1>0.0001</formula1>
      <formula2>0.00011</formula2>
    </dataValidation>
  </dataValidations>
  <pageMargins left="0.75" right="0.72" top="0.64" bottom="0.6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O5" sqref="O5"/>
    </sheetView>
  </sheetViews>
  <sheetFormatPr defaultRowHeight="13.5"/>
  <cols>
    <col min="1" max="1" width="2.75" customWidth="1"/>
    <col min="2" max="2" width="24.75" customWidth="1"/>
    <col min="3" max="3" width="16.25" customWidth="1"/>
    <col min="4" max="9" width="6.875" customWidth="1"/>
    <col min="10" max="12" width="0" hidden="1" customWidth="1"/>
    <col min="13" max="14" width="9" hidden="1" customWidth="1"/>
  </cols>
  <sheetData>
    <row r="1" spans="1:14" ht="18.75">
      <c r="A1" s="168" t="s">
        <v>257</v>
      </c>
      <c r="G1" s="200">
        <f ca="1">TODAY()</f>
        <v>43728</v>
      </c>
      <c r="H1" s="200"/>
    </row>
    <row r="3" spans="1:14">
      <c r="A3" t="s">
        <v>267</v>
      </c>
    </row>
    <row r="4" spans="1:14">
      <c r="A4" s="149"/>
      <c r="B4" s="150"/>
      <c r="C4" s="149"/>
      <c r="D4" s="149" t="s">
        <v>274</v>
      </c>
      <c r="E4" s="150"/>
      <c r="F4" s="150"/>
      <c r="G4" s="150"/>
      <c r="H4" s="150"/>
      <c r="I4" s="151"/>
    </row>
    <row r="5" spans="1:14" ht="27">
      <c r="A5" s="155"/>
      <c r="B5" s="156"/>
      <c r="C5" s="172" t="s">
        <v>280</v>
      </c>
      <c r="D5" s="162" t="s">
        <v>268</v>
      </c>
      <c r="E5" s="163" t="s">
        <v>269</v>
      </c>
      <c r="F5" s="163" t="s">
        <v>270</v>
      </c>
      <c r="G5" s="163" t="s">
        <v>271</v>
      </c>
      <c r="H5" s="163" t="s">
        <v>272</v>
      </c>
      <c r="I5" s="164" t="s">
        <v>273</v>
      </c>
    </row>
    <row r="6" spans="1:14">
      <c r="A6" s="152"/>
      <c r="B6" s="131" t="s">
        <v>1</v>
      </c>
      <c r="C6" s="166">
        <f>入力!C4</f>
        <v>10000</v>
      </c>
      <c r="D6" s="152">
        <f>SUMPRODUCT((入力!$C$18:C$1000&lt;&gt;"")*入力!$C$18:C$1000*(入力!$H$18:$H$1000=1))/MAX(1,D$44)</f>
        <v>0</v>
      </c>
      <c r="E6" s="131">
        <f>SUMPRODUCT((入力!$C$18:$C$1000&lt;&gt;"")*入力!$C$18:$C$1000*(入力!$H$18:$H$1000=2))/MAX(1,E$44)</f>
        <v>0</v>
      </c>
      <c r="F6" s="131">
        <f>SUMPRODUCT((入力!$C$18:$C$1000&lt;&gt;"")*入力!$C$18:$C$1000*(入力!$H$18:$H$1000=3))/MAX(1,F$44)</f>
        <v>0</v>
      </c>
      <c r="G6" s="131">
        <f>SUMPRODUCT((入力!$C$18:$C$1000&lt;&gt;"")*入力!$C$18:$C$1000*(入力!$H$18:$H$1000=4))/MAX(1,G$44)</f>
        <v>10000</v>
      </c>
      <c r="H6" s="131">
        <f>SUMPRODUCT((入力!$C$18:$C$1000&lt;&gt;"")*入力!$C$18:$C$1000*(入力!$H$18:$H$1000=5))/MAX(1,H$44)</f>
        <v>0</v>
      </c>
      <c r="I6" s="159">
        <f>SUMPRODUCT((入力!$C$18:$C$1000&lt;&gt;"")*入力!$C$18:$C$1000*(入力!$H$18:$H$1000&gt;=6))/MAX(1,I$44)</f>
        <v>0</v>
      </c>
    </row>
    <row r="7" spans="1:14">
      <c r="A7" s="152"/>
      <c r="B7" s="131" t="s">
        <v>275</v>
      </c>
      <c r="C7" s="166" t="str">
        <f>入力!D4</f>
        <v/>
      </c>
      <c r="D7" s="152">
        <f>SUMPRODUCT((入力!$D$18:$D$1000&lt;&gt;"")*入力!$D$18:$D$1000*(入力!$H$18:$H$1000=1))/MAX(1,D$44)</f>
        <v>0</v>
      </c>
      <c r="E7" s="131">
        <f>SUMPRODUCT((入力!$D$18:$D$1000&lt;&gt;"")*入力!$D$18:$D$1000*(入力!$H$18:$H$1000=2))/MAX(1,E$44)</f>
        <v>0</v>
      </c>
      <c r="F7" s="131">
        <f>SUMPRODUCT((入力!$D$18:$D$1000&lt;&gt;"")*入力!$D$18:$D$1000*(入力!$H$18:$H$1000=3))/MAX(1,F$44)</f>
        <v>0</v>
      </c>
      <c r="G7" s="131">
        <f>SUMPRODUCT((入力!$D$18:$D$1000&lt;&gt;"")*入力!$D$18:$D$1000*(入力!$H$18:$H$1000=4))/MAX(1,G$44)</f>
        <v>0</v>
      </c>
      <c r="H7" s="131">
        <f>SUMPRODUCT((入力!$D$18:$D$1000&lt;&gt;"")*入力!$D$18:$D$1000*(入力!$H$18:$H$1000=5))/MAX(1,H$44)</f>
        <v>0</v>
      </c>
      <c r="I7" s="159">
        <f>SUMPRODUCT((入力!$D$18:$D$1000&lt;&gt;"")*入力!$D$18:$D$1000*(入力!$H$18:$H$1000&gt;=6))/MAX(1,I$44)</f>
        <v>0</v>
      </c>
    </row>
    <row r="8" spans="1:14">
      <c r="A8" s="152"/>
      <c r="B8" s="131" t="s">
        <v>276</v>
      </c>
      <c r="C8" s="166">
        <f>入力!E4</f>
        <v>6000</v>
      </c>
      <c r="D8" s="152">
        <f>SUMPRODUCT((入力!$E$18:$E$1000&lt;&gt;"")*入力!$E$18:$E$1000*(入力!$H$18:$H$1000=1))/MAX(1,D$44)</f>
        <v>0</v>
      </c>
      <c r="E8" s="131">
        <f>SUMPRODUCT((入力!$E$18:$E$1000&lt;&gt;"")*入力!$E$18:$E$1000*(入力!$H$18:$H$1000=2))/MAX(1,E$44)</f>
        <v>0</v>
      </c>
      <c r="F8" s="131">
        <f>SUMPRODUCT((入力!$E$18:$E$1000&lt;&gt;"")*入力!$E$18:$E$1000*(入力!$H$18:$H$1000=3))/MAX(1,F$44)</f>
        <v>0</v>
      </c>
      <c r="G8" s="131">
        <f>SUMPRODUCT((入力!$E$18:$E$1000&lt;&gt;"")*入力!$E$18:$E$1000*(入力!$H$18:$H$1000=4))/MAX(1,G$44)</f>
        <v>6000</v>
      </c>
      <c r="H8" s="131">
        <f>SUMPRODUCT((入力!$E$18:$E$1000&lt;&gt;"")*入力!$E$18:$E$1000*(入力!$H$18:$H$1000=5))/MAX(1,H$44)</f>
        <v>0</v>
      </c>
      <c r="I8" s="159">
        <f>SUMPRODUCT((入力!$E$18:$E$1000&lt;&gt;"")*入力!$E$18:$E$1000*(入力!$H$18:$H$1000&gt;=6))/MAX(1,I$44)</f>
        <v>0</v>
      </c>
    </row>
    <row r="9" spans="1:14">
      <c r="A9" s="152"/>
      <c r="B9" s="131" t="s">
        <v>2</v>
      </c>
      <c r="C9" s="166" t="str">
        <f>入力!F4</f>
        <v/>
      </c>
      <c r="D9" s="152">
        <f>SUMPRODUCT((入力!$F$18:$F$1000&lt;&gt;"")*入力!$F$18:$F$1000*(入力!$H$18:$H$1000=1))/MAX(1,D$44)</f>
        <v>0</v>
      </c>
      <c r="E9" s="131">
        <f>SUMPRODUCT((入力!$F$18:$F$1000&lt;&gt;"")*入力!$F$18:$F$1000*(入力!$H$18:$H$1000=2))/MAX(1,E$44)</f>
        <v>0</v>
      </c>
      <c r="F9" s="131">
        <f>SUMPRODUCT((入力!$F$18:$F$1000&lt;&gt;"")*入力!$F$18:$F$1000*(入力!$H$18:$H$1000=3))/MAX(1,F$44)</f>
        <v>0</v>
      </c>
      <c r="G9" s="131">
        <f>SUMPRODUCT((入力!$F$18:$F$1000&lt;&gt;"")*入力!$F$18:$F$1000*(入力!$H$18:$H$1000=4))/MAX(1,G$44)</f>
        <v>0</v>
      </c>
      <c r="H9" s="131">
        <f>SUMPRODUCT((入力!$F$18:$F$1000&lt;&gt;"")*入力!$F$18:$F$1000*(入力!$H$18:$H$1000=5))/MAX(1,H$44)</f>
        <v>0</v>
      </c>
      <c r="I9" s="159">
        <f>SUMPRODUCT((入力!$F$18:$F$1000&lt;&gt;"")*入力!$F$18:$F$1000*(入力!$H$18:$H$1000&gt;=6))/MAX(1,I$44)</f>
        <v>0</v>
      </c>
    </row>
    <row r="10" spans="1:14">
      <c r="A10" s="152"/>
      <c r="B10" s="131" t="s">
        <v>3</v>
      </c>
      <c r="C10" s="166">
        <f>入力!G4</f>
        <v>4000</v>
      </c>
      <c r="D10" s="152">
        <f>SUMPRODUCT((入力!$G$18:$G$1000&lt;&gt;"")*入力!$G$18:$G$1000*(入力!$H$18:$H$1000=1))/MAX(1,D$44)</f>
        <v>0</v>
      </c>
      <c r="E10" s="131">
        <f>SUMPRODUCT((入力!$G$18:$G$1000&lt;&gt;"")*入力!$G$18:$G$1000*(入力!$H$18:$H$1000=2))/MAX(1,E$44)</f>
        <v>0</v>
      </c>
      <c r="F10" s="131">
        <f>SUMPRODUCT((入力!$G$18:$G$1000&lt;&gt;"")*入力!$G$18:$G$1000*(入力!$H$18:$H$1000=3))/MAX(1,F$44)</f>
        <v>0</v>
      </c>
      <c r="G10" s="131">
        <f>SUMPRODUCT((入力!$G$18:$G$1000&lt;&gt;"")*入力!$G$18:$G$1000*(入力!$H$18:$H$1000=4))/MAX(1,G$44)</f>
        <v>4000</v>
      </c>
      <c r="H10" s="131">
        <f>SUMPRODUCT((入力!$G$18:$G$1000&lt;&gt;"")*入力!$G$18:$G$1000*(入力!$H$18:$H$1000=5))/MAX(1,H$44)</f>
        <v>0</v>
      </c>
      <c r="I10" s="159">
        <f>SUMPRODUCT((入力!$G$18:$G$1000&lt;&gt;"")*入力!$G$18:$G$1000*(入力!$H$18:$H$1000&gt;=6))/MAX(1,I$44)</f>
        <v>0</v>
      </c>
    </row>
    <row r="11" spans="1:14">
      <c r="A11" s="155"/>
      <c r="B11" s="156" t="s">
        <v>277</v>
      </c>
      <c r="C11" s="167">
        <f>SUM(C6,C9:C10)+IF(OR(C7="",C7=0),IF(OR(C8="",C8=0),0,C8),IF(OR(C8="",C8=0),C7,(C7+C8)/2))</f>
        <v>20000</v>
      </c>
      <c r="D11" s="167">
        <f t="shared" ref="D11:I11" si="0">SUM(D6,D9:D10)+IF(OR(D7="",D7=0),IF(OR(D8="",D8=0),0,D8),IF(OR(D8="",D8=0),D7,(D7+D8)/2))</f>
        <v>0</v>
      </c>
      <c r="E11" s="165">
        <f t="shared" si="0"/>
        <v>0</v>
      </c>
      <c r="F11" s="165">
        <f t="shared" si="0"/>
        <v>0</v>
      </c>
      <c r="G11" s="165">
        <f t="shared" si="0"/>
        <v>20000</v>
      </c>
      <c r="H11" s="165">
        <f t="shared" si="0"/>
        <v>0</v>
      </c>
      <c r="I11" s="157">
        <f t="shared" si="0"/>
        <v>0</v>
      </c>
    </row>
    <row r="13" spans="1:14">
      <c r="A13" t="s">
        <v>259</v>
      </c>
    </row>
    <row r="14" spans="1:14">
      <c r="A14" s="149"/>
      <c r="B14" s="150"/>
      <c r="C14" s="150"/>
      <c r="D14" s="150"/>
      <c r="E14" s="149" t="s">
        <v>281</v>
      </c>
      <c r="F14" s="150"/>
      <c r="G14" s="150"/>
      <c r="H14" s="151"/>
      <c r="I14" s="151" t="s">
        <v>258</v>
      </c>
      <c r="J14" t="s">
        <v>261</v>
      </c>
    </row>
    <row r="15" spans="1:14" ht="54">
      <c r="A15" s="155"/>
      <c r="B15" s="156"/>
      <c r="C15" s="156"/>
      <c r="D15" s="156"/>
      <c r="E15" s="162" t="str">
        <f>初期設定!C16</f>
        <v>できている</v>
      </c>
      <c r="F15" s="163" t="str">
        <f>初期設定!C17</f>
        <v>半分くらい</v>
      </c>
      <c r="G15" s="163" t="str">
        <f>初期設定!C18</f>
        <v>できていない</v>
      </c>
      <c r="H15" s="164" t="str">
        <f>初期設定!C19</f>
        <v>持っていない・関係ない</v>
      </c>
      <c r="I15" s="161" t="s">
        <v>282</v>
      </c>
      <c r="J15">
        <v>1</v>
      </c>
      <c r="K15">
        <v>2</v>
      </c>
      <c r="L15">
        <v>3</v>
      </c>
      <c r="M15">
        <v>4</v>
      </c>
      <c r="N15">
        <v>5</v>
      </c>
    </row>
    <row r="16" spans="1:14">
      <c r="A16" s="152"/>
      <c r="B16" s="131" t="str">
        <f>印刷用記入シート!A9</f>
        <v>(1)冷蔵庫のドアの開閉は回数を減らす</v>
      </c>
      <c r="C16" s="131"/>
      <c r="D16" s="131"/>
      <c r="E16" s="152">
        <f>COUNTIF(入力!$J$18:$J$6553,1)</f>
        <v>0</v>
      </c>
      <c r="F16" s="131">
        <f>COUNTIF(入力!$J$18:$J$6553,2)</f>
        <v>0</v>
      </c>
      <c r="G16" s="131">
        <f>COUNTIF(入力!$J$18:$J$6553,3)</f>
        <v>0</v>
      </c>
      <c r="H16" s="159">
        <f>COUNTIF(入力!$J$18:$J$6553,4)</f>
        <v>1</v>
      </c>
      <c r="I16" s="153" t="str">
        <f>IF(初期設定!$C$19=初期設定!$E$19,IF(初期設定!F23=1,IF(SUM(E16:H16)=0,"",((E16*2+H16*2)+F16)/SUM(E16:H16)*100/2),IF(SUM(E16:G16)=0,"",(E16*2+F16)/SUM(E16:G16)*100/2)),IF(SUM(E16:H16)=0,"",(E16*3+F16*2+G16)/SUM(E16:H16)*100/3))</f>
        <v/>
      </c>
      <c r="J16" s="148" t="str">
        <f>IF(初期設定!$D23=集計レポート!J$15,集計レポート!$I16,"")</f>
        <v/>
      </c>
      <c r="K16" s="148" t="str">
        <f>IF(初期設定!$D23=集計レポート!K$15,集計レポート!$I16,"")</f>
        <v/>
      </c>
      <c r="L16" s="148" t="str">
        <f>IF(初期設定!$D23=集計レポート!L$15,集計レポート!$I16,"")</f>
        <v/>
      </c>
      <c r="M16" s="148" t="str">
        <f>IF(初期設定!$D23=集計レポート!M$15,集計レポート!$I16,"")</f>
        <v/>
      </c>
      <c r="N16" s="148" t="str">
        <f>IF(初期設定!$D23=集計レポート!N$15,集計レポート!$I16,"")</f>
        <v/>
      </c>
    </row>
    <row r="17" spans="1:14">
      <c r="A17" s="152"/>
      <c r="B17" s="131" t="str">
        <f>印刷用記入シート!A10</f>
        <v>(2)食器洗いで節水を心がける</v>
      </c>
      <c r="C17" s="131"/>
      <c r="D17" s="131"/>
      <c r="E17" s="152">
        <f>COUNTIF(入力!$K$18:$K$6553,1)</f>
        <v>1</v>
      </c>
      <c r="F17" s="131">
        <f>COUNTIF(入力!$K$18:$K$6553,2)</f>
        <v>0</v>
      </c>
      <c r="G17" s="131">
        <f>COUNTIF(入力!$K$18:$K$6553,3)</f>
        <v>0</v>
      </c>
      <c r="H17" s="159">
        <f>COUNTIF(入力!$K$18:$K$6553,4)</f>
        <v>0</v>
      </c>
      <c r="I17" s="153">
        <f>IF(初期設定!$C$19=初期設定!$E$19,IF(初期設定!F24=1,IF(SUM(E17:H17)=0,"",((E17*2+H17*2)+F17)/SUM(E17:H17)*100/2),IF(SUM(E17:G17)=0,"",(E17*2+F17)/SUM(E17:G17)*100/2)),IF(SUM(E17:H17)=0,"",(E17*3+F17*2+G17)/SUM(E17:H17)*100/3))</f>
        <v>100</v>
      </c>
      <c r="J17" s="148">
        <f>IF(初期設定!$D24=集計レポート!J$15,集計レポート!$I17,"")</f>
        <v>100</v>
      </c>
      <c r="K17" s="148" t="str">
        <f>IF(初期設定!$D24=集計レポート!K$15,集計レポート!$I17,"")</f>
        <v/>
      </c>
      <c r="L17" s="148" t="str">
        <f>IF(初期設定!$D24=集計レポート!L$15,集計レポート!$I17,"")</f>
        <v/>
      </c>
      <c r="M17" s="148" t="str">
        <f>IF(初期設定!$D24=集計レポート!M$15,集計レポート!$I17,"")</f>
        <v/>
      </c>
      <c r="N17" s="148" t="str">
        <f>IF(初期設定!$D24=集計レポート!N$15,集計レポート!$I17,"")</f>
        <v/>
      </c>
    </row>
    <row r="18" spans="1:14">
      <c r="A18" s="152"/>
      <c r="B18" s="131" t="str">
        <f>印刷用記入シート!A11</f>
        <v>(3)生ゴミは水分を十分切って出すか、コンポストしている</v>
      </c>
      <c r="C18" s="131"/>
      <c r="D18" s="131"/>
      <c r="E18" s="152">
        <f>COUNTIF(入力!$L$18:$L$6553,1)</f>
        <v>0</v>
      </c>
      <c r="F18" s="131">
        <f>COUNTIF(入力!$L$18:$L$6553,2)</f>
        <v>1</v>
      </c>
      <c r="G18" s="131">
        <f>COUNTIF(入力!$L$18:$L$6553,3)</f>
        <v>0</v>
      </c>
      <c r="H18" s="159">
        <f>COUNTIF(入力!$L$18:$L$6553,4)</f>
        <v>0</v>
      </c>
      <c r="I18" s="153">
        <f>IF(初期設定!$C$19=初期設定!$E$19,IF(初期設定!F25=1,IF(SUM(E18:H18)=0,"",((E18*2+H18*2)+F18)/SUM(E18:H18)*100/2),IF(SUM(E18:G18)=0,"",(E18*2+F18)/SUM(E18:G18)*100/2)),IF(SUM(E18:H18)=0,"",(E18*3+F18*2+G18)/SUM(E18:H18)*100/3))</f>
        <v>50</v>
      </c>
      <c r="J18" s="148">
        <f>IF(初期設定!$D25=集計レポート!J$15,集計レポート!$I18,"")</f>
        <v>50</v>
      </c>
      <c r="K18" s="148" t="str">
        <f>IF(初期設定!$D25=集計レポート!K$15,集計レポート!$I18,"")</f>
        <v/>
      </c>
      <c r="L18" s="148" t="str">
        <f>IF(初期設定!$D25=集計レポート!L$15,集計レポート!$I18,"")</f>
        <v/>
      </c>
      <c r="M18" s="148" t="str">
        <f>IF(初期設定!$D25=集計レポート!M$15,集計レポート!$I18,"")</f>
        <v/>
      </c>
      <c r="N18" s="148" t="str">
        <f>IF(初期設定!$D25=集計レポート!N$15,集計レポート!$I18,"")</f>
        <v/>
      </c>
    </row>
    <row r="19" spans="1:14">
      <c r="A19" s="152"/>
      <c r="B19" s="131" t="str">
        <f>印刷用記入シート!A12</f>
        <v>(4)電子レンジや冷蔵庫保存はラップを使わず、ふた付き容器を使用する</v>
      </c>
      <c r="C19" s="131"/>
      <c r="D19" s="131"/>
      <c r="E19" s="152">
        <f>COUNTIF(入力!$M$18:$M$6553,1)</f>
        <v>1</v>
      </c>
      <c r="F19" s="131">
        <f>COUNTIF(入力!$M$18:$M$6553,2)</f>
        <v>0</v>
      </c>
      <c r="G19" s="131">
        <f>COUNTIF(入力!$M$18:$M$6553,3)</f>
        <v>0</v>
      </c>
      <c r="H19" s="159">
        <f>COUNTIF(入力!$M$18:$M$6553,4)</f>
        <v>0</v>
      </c>
      <c r="I19" s="153">
        <f>IF(初期設定!$C$19=初期設定!$E$19,IF(初期設定!F26=1,IF(SUM(E19:H19)=0,"",((E19*2+H19*2)+F19)/SUM(E19:H19)*100/2),IF(SUM(E19:G19)=0,"",(E19*2+F19)/SUM(E19:G19)*100/2)),IF(SUM(E19:H19)=0,"",(E19*3+F19*2+G19)/SUM(E19:H19)*100/3))</f>
        <v>100</v>
      </c>
      <c r="J19" s="148">
        <f>IF(初期設定!$D26=集計レポート!J$15,集計レポート!$I19,"")</f>
        <v>100</v>
      </c>
      <c r="K19" s="148" t="str">
        <f>IF(初期設定!$D26=集計レポート!K$15,集計レポート!$I19,"")</f>
        <v/>
      </c>
      <c r="L19" s="148" t="str">
        <f>IF(初期設定!$D26=集計レポート!L$15,集計レポート!$I19,"")</f>
        <v/>
      </c>
      <c r="M19" s="148" t="str">
        <f>IF(初期設定!$D26=集計レポート!M$15,集計レポート!$I19,"")</f>
        <v/>
      </c>
      <c r="N19" s="148" t="str">
        <f>IF(初期設定!$D26=集計レポート!N$15,集計レポート!$I19,"")</f>
        <v/>
      </c>
    </row>
    <row r="20" spans="1:14">
      <c r="A20" s="152"/>
      <c r="B20" s="131" t="str">
        <f>印刷用記入シート!A13</f>
        <v>(5)使い切る分だけお湯を沸かす</v>
      </c>
      <c r="C20" s="131"/>
      <c r="D20" s="131"/>
      <c r="E20" s="152">
        <f>COUNTIF(入力!$N$18:$N$6553,1)</f>
        <v>0</v>
      </c>
      <c r="F20" s="131">
        <f>COUNTIF(入力!$N$18:$N$6553,2)</f>
        <v>1</v>
      </c>
      <c r="G20" s="131">
        <f>COUNTIF(入力!$N$18:$N$6553,3)</f>
        <v>0</v>
      </c>
      <c r="H20" s="159">
        <f>COUNTIF(入力!$N$18:$N$6553,4)</f>
        <v>0</v>
      </c>
      <c r="I20" s="153">
        <f>IF(初期設定!$C$19=初期設定!$E$19,IF(初期設定!F27=1,IF(SUM(E20:H20)=0,"",((E20*2+H20*2)+F20)/SUM(E20:H20)*100/2),IF(SUM(E20:G20)=0,"",(E20*2+F20)/SUM(E20:G20)*100/2)),IF(SUM(E20:H20)=0,"",(E20*3+F20*2+G20)/SUM(E20:H20)*100/3))</f>
        <v>50</v>
      </c>
      <c r="J20" s="148">
        <f>IF(初期設定!$D27=集計レポート!J$15,集計レポート!$I20,"")</f>
        <v>50</v>
      </c>
      <c r="K20" s="148" t="str">
        <f>IF(初期設定!$D27=集計レポート!K$15,集計レポート!$I20,"")</f>
        <v/>
      </c>
      <c r="L20" s="148" t="str">
        <f>IF(初期設定!$D27=集計レポート!L$15,集計レポート!$I20,"")</f>
        <v/>
      </c>
      <c r="M20" s="148" t="str">
        <f>IF(初期設定!$D27=集計レポート!M$15,集計レポート!$I20,"")</f>
        <v/>
      </c>
      <c r="N20" s="148" t="str">
        <f>IF(初期設定!$D27=集計レポート!N$15,集計レポート!$I20,"")</f>
        <v/>
      </c>
    </row>
    <row r="21" spans="1:14">
      <c r="A21" s="152"/>
      <c r="B21" s="131" t="str">
        <f>印刷用記入シート!A14</f>
        <v>(6)使っていない部屋の照明はこまめに消す</v>
      </c>
      <c r="C21" s="131"/>
      <c r="D21" s="131"/>
      <c r="E21" s="152">
        <f>COUNTIF(入力!$O$18:$O$6553,1)</f>
        <v>0</v>
      </c>
      <c r="F21" s="131">
        <f>COUNTIF(入力!$O$18:$O$6553,2)</f>
        <v>1</v>
      </c>
      <c r="G21" s="131">
        <f>COUNTIF(入力!$O$18:$O$6553,3)</f>
        <v>0</v>
      </c>
      <c r="H21" s="159">
        <f>COUNTIF(入力!$O$18:$O$6553,4)</f>
        <v>0</v>
      </c>
      <c r="I21" s="153">
        <f>IF(初期設定!$C$19=初期設定!$E$19,IF(初期設定!F28=1,IF(SUM(E21:H21)=0,"",((E21*2+H21*2)+F21)/SUM(E21:H21)*100/2),IF(SUM(E21:G21)=0,"",(E21*2+F21)/SUM(E21:G21)*100/2)),IF(SUM(E21:H21)=0,"",(E21*3+F21*2+G21)/SUM(E21:H21)*100/3))</f>
        <v>50</v>
      </c>
      <c r="J21" s="148" t="str">
        <f>IF(初期設定!$D28=集計レポート!J$15,集計レポート!$I21,"")</f>
        <v/>
      </c>
      <c r="K21" s="148">
        <f>IF(初期設定!$D28=集計レポート!K$15,集計レポート!$I21,"")</f>
        <v>50</v>
      </c>
      <c r="L21" s="148" t="str">
        <f>IF(初期設定!$D28=集計レポート!L$15,集計レポート!$I21,"")</f>
        <v/>
      </c>
      <c r="M21" s="148" t="str">
        <f>IF(初期設定!$D28=集計レポート!M$15,集計レポート!$I21,"")</f>
        <v/>
      </c>
      <c r="N21" s="148" t="str">
        <f>IF(初期設定!$D28=集計レポート!N$15,集計レポート!$I21,"")</f>
        <v/>
      </c>
    </row>
    <row r="22" spans="1:14">
      <c r="A22" s="152"/>
      <c r="B22" s="131" t="str">
        <f>印刷用記入シート!A15</f>
        <v>(7)テレビは点けっぱなしにせず、見たい番組のときだけ点ける</v>
      </c>
      <c r="C22" s="131"/>
      <c r="D22" s="131"/>
      <c r="E22" s="152">
        <f>COUNTIF(入力!$P$18:$P$6553,1)</f>
        <v>1</v>
      </c>
      <c r="F22" s="131">
        <f>COUNTIF(入力!$P$18:$P$6553,2)</f>
        <v>0</v>
      </c>
      <c r="G22" s="131">
        <f>COUNTIF(入力!$P$18:$P$6553,3)</f>
        <v>0</v>
      </c>
      <c r="H22" s="159">
        <f>COUNTIF(入力!$P$18:$P$6553,4)</f>
        <v>0</v>
      </c>
      <c r="I22" s="153">
        <f>IF(初期設定!$C$19=初期設定!$E$19,IF(初期設定!F29=1,IF(SUM(E22:H22)=0,"",((E22*2+H22*2)+F22)/SUM(E22:H22)*100/2),IF(SUM(E22:G22)=0,"",(E22*2+F22)/SUM(E22:G22)*100/2)),IF(SUM(E22:H22)=0,"",(E22*3+F22*2+G22)/SUM(E22:H22)*100/3))</f>
        <v>100</v>
      </c>
      <c r="J22" s="148" t="str">
        <f>IF(初期設定!$D29=集計レポート!J$15,集計レポート!$I22,"")</f>
        <v/>
      </c>
      <c r="K22" s="148">
        <f>IF(初期設定!$D29=集計レポート!K$15,集計レポート!$I22,"")</f>
        <v>100</v>
      </c>
      <c r="L22" s="148" t="str">
        <f>IF(初期設定!$D29=集計レポート!L$15,集計レポート!$I22,"")</f>
        <v/>
      </c>
      <c r="M22" s="148" t="str">
        <f>IF(初期設定!$D29=集計レポート!M$15,集計レポート!$I22,"")</f>
        <v/>
      </c>
      <c r="N22" s="148" t="str">
        <f>IF(初期設定!$D29=集計レポート!N$15,集計レポート!$I22,"")</f>
        <v/>
      </c>
    </row>
    <row r="23" spans="1:14">
      <c r="A23" s="152"/>
      <c r="B23" s="131" t="str">
        <f>印刷用記入シート!A16</f>
        <v>(8)冷暖房の設定を控えめにする（冷房は28℃、暖房は20℃が目安）</v>
      </c>
      <c r="C23" s="131"/>
      <c r="D23" s="131"/>
      <c r="E23" s="152">
        <f>COUNTIF(入力!$Q$18:$Q$6553,1)</f>
        <v>1</v>
      </c>
      <c r="F23" s="131">
        <f>COUNTIF(入力!$Q$18:$Q$6553,2)</f>
        <v>0</v>
      </c>
      <c r="G23" s="131">
        <f>COUNTIF(入力!$Q$18:$Q$6553,3)</f>
        <v>0</v>
      </c>
      <c r="H23" s="159">
        <f>COUNTIF(入力!$Q$18:$Q$6553,4)</f>
        <v>0</v>
      </c>
      <c r="I23" s="153">
        <f>IF(初期設定!$C$19=初期設定!$E$19,IF(初期設定!F30=1,IF(SUM(E23:H23)=0,"",((E23*2+H23*2)+F23)/SUM(E23:H23)*100/2),IF(SUM(E23:G23)=0,"",(E23*2+F23)/SUM(E23:G23)*100/2)),IF(SUM(E23:H23)=0,"",(E23*3+F23*2+G23)/SUM(E23:H23)*100/3))</f>
        <v>100</v>
      </c>
      <c r="J23" s="148" t="str">
        <f>IF(初期設定!$D30=集計レポート!J$15,集計レポート!$I23,"")</f>
        <v/>
      </c>
      <c r="K23" s="148">
        <f>IF(初期設定!$D30=集計レポート!K$15,集計レポート!$I23,"")</f>
        <v>100</v>
      </c>
      <c r="L23" s="148" t="str">
        <f>IF(初期設定!$D30=集計レポート!L$15,集計レポート!$I23,"")</f>
        <v/>
      </c>
      <c r="M23" s="148" t="str">
        <f>IF(初期設定!$D30=集計レポート!M$15,集計レポート!$I23,"")</f>
        <v/>
      </c>
      <c r="N23" s="148" t="str">
        <f>IF(初期設定!$D30=集計レポート!N$15,集計レポート!$I23,"")</f>
        <v/>
      </c>
    </row>
    <row r="24" spans="1:14">
      <c r="A24" s="152"/>
      <c r="B24" s="131" t="str">
        <f>印刷用記入シート!A17</f>
        <v>(9)物は大切に、長く使うように心がける</v>
      </c>
      <c r="C24" s="131"/>
      <c r="D24" s="131"/>
      <c r="E24" s="152">
        <f>COUNTIF(入力!$R$18:$R$6553,1)</f>
        <v>1</v>
      </c>
      <c r="F24" s="131">
        <f>COUNTIF(入力!$R$18:$R$6553,2)</f>
        <v>0</v>
      </c>
      <c r="G24" s="131">
        <f>COUNTIF(入力!$R$18:$R$6553,3)</f>
        <v>0</v>
      </c>
      <c r="H24" s="159">
        <f>COUNTIF(入力!$R$18:$R$6553,4)</f>
        <v>0</v>
      </c>
      <c r="I24" s="153">
        <f>IF(初期設定!$C$19=初期設定!$E$19,IF(初期設定!F31=1,IF(SUM(E24:H24)=0,"",((E24*2+H24*2)+F24)/SUM(E24:H24)*100/2),IF(SUM(E24:G24)=0,"",(E24*2+F24)/SUM(E24:G24)*100/2)),IF(SUM(E24:H24)=0,"",(E24*3+F24*2+G24)/SUM(E24:H24)*100/3))</f>
        <v>100</v>
      </c>
      <c r="J24" s="148" t="str">
        <f>IF(初期設定!$D31=集計レポート!J$15,集計レポート!$I24,"")</f>
        <v/>
      </c>
      <c r="K24" s="148">
        <f>IF(初期設定!$D31=集計レポート!K$15,集計レポート!$I24,"")</f>
        <v>100</v>
      </c>
      <c r="L24" s="148" t="str">
        <f>IF(初期設定!$D31=集計レポート!L$15,集計レポート!$I24,"")</f>
        <v/>
      </c>
      <c r="M24" s="148" t="str">
        <f>IF(初期設定!$D31=集計レポート!M$15,集計レポート!$I24,"")</f>
        <v/>
      </c>
      <c r="N24" s="148" t="str">
        <f>IF(初期設定!$D31=集計レポート!N$15,集計レポート!$I24,"")</f>
        <v/>
      </c>
    </row>
    <row r="25" spans="1:14">
      <c r="A25" s="152"/>
      <c r="B25" s="131" t="str">
        <f>印刷用記入シート!A18</f>
        <v>(10)家族で「省エネ」「リサイクル」「環境問題」などの話をする</v>
      </c>
      <c r="C25" s="131"/>
      <c r="D25" s="131"/>
      <c r="E25" s="152">
        <f>COUNTIF(入力!$S$18:$S$6553,1)</f>
        <v>1</v>
      </c>
      <c r="F25" s="131">
        <f>COUNTIF(入力!$S$18:$S$6553,2)</f>
        <v>0</v>
      </c>
      <c r="G25" s="131">
        <f>COUNTIF(入力!$S$18:$S$6553,3)</f>
        <v>0</v>
      </c>
      <c r="H25" s="159">
        <f>COUNTIF(入力!$S$18:$S$6553,4)</f>
        <v>0</v>
      </c>
      <c r="I25" s="153">
        <f>IF(初期設定!$C$19=初期設定!$E$19,IF(初期設定!F32=1,IF(SUM(E25:H25)=0,"",((E25*2+H25*2)+F25)/SUM(E25:H25)*100/2),IF(SUM(E25:G25)=0,"",(E25*2+F25)/SUM(E25:G25)*100/2)),IF(SUM(E25:H25)=0,"",(E25*3+F25*2+G25)/SUM(E25:H25)*100/3))</f>
        <v>100</v>
      </c>
      <c r="J25" s="148" t="str">
        <f>IF(初期設定!$D32=集計レポート!J$15,集計レポート!$I25,"")</f>
        <v/>
      </c>
      <c r="K25" s="148">
        <f>IF(初期設定!$D32=集計レポート!K$15,集計レポート!$I25,"")</f>
        <v>100</v>
      </c>
      <c r="L25" s="148" t="str">
        <f>IF(初期設定!$D32=集計レポート!L$15,集計レポート!$I25,"")</f>
        <v/>
      </c>
      <c r="M25" s="148" t="str">
        <f>IF(初期設定!$D32=集計レポート!M$15,集計レポート!$I25,"")</f>
        <v/>
      </c>
      <c r="N25" s="148" t="str">
        <f>IF(初期設定!$D32=集計レポート!N$15,集計レポート!$I25,"")</f>
        <v/>
      </c>
    </row>
    <row r="26" spans="1:14">
      <c r="A26" s="152"/>
      <c r="B26" s="131" t="str">
        <f>印刷用記入シート!A19</f>
        <v>(11)シャワーで使用するお湯を少なくするよう気をつける</v>
      </c>
      <c r="C26" s="131"/>
      <c r="D26" s="131"/>
      <c r="E26" s="152">
        <f>COUNTIF(入力!$T$18:$T$6553,1)</f>
        <v>0</v>
      </c>
      <c r="F26" s="131">
        <f>COUNTIF(入力!$T$18:$T$6553,2)</f>
        <v>1</v>
      </c>
      <c r="G26" s="131">
        <f>COUNTIF(入力!$T$18:$T$6553,3)</f>
        <v>0</v>
      </c>
      <c r="H26" s="159">
        <f>COUNTIF(入力!$T$18:$T$6553,4)</f>
        <v>0</v>
      </c>
      <c r="I26" s="153">
        <f>IF(初期設定!$C$19=初期設定!$E$19,IF(初期設定!F33=1,IF(SUM(E26:H26)=0,"",((E26*2+H26*2)+F26)/SUM(E26:H26)*100/2),IF(SUM(E26:G26)=0,"",(E26*2+F26)/SUM(E26:G26)*100/2)),IF(SUM(E26:H26)=0,"",(E26*3+F26*2+G26)/SUM(E26:H26)*100/3))</f>
        <v>50</v>
      </c>
      <c r="J26" s="148" t="str">
        <f>IF(初期設定!$D33=集計レポート!J$15,集計レポート!$I26,"")</f>
        <v/>
      </c>
      <c r="K26" s="148" t="str">
        <f>IF(初期設定!$D33=集計レポート!K$15,集計レポート!$I26,"")</f>
        <v/>
      </c>
      <c r="L26" s="148">
        <f>IF(初期設定!$D33=集計レポート!L$15,集計レポート!$I26,"")</f>
        <v>50</v>
      </c>
      <c r="M26" s="148" t="str">
        <f>IF(初期設定!$D33=集計レポート!M$15,集計レポート!$I26,"")</f>
        <v/>
      </c>
      <c r="N26" s="148" t="str">
        <f>IF(初期設定!$D33=集計レポート!N$15,集計レポート!$I26,"")</f>
        <v/>
      </c>
    </row>
    <row r="27" spans="1:14">
      <c r="A27" s="152"/>
      <c r="B27" s="131" t="str">
        <f>印刷用記入シート!A20</f>
        <v>(12)お風呂はさめないうちに、家族が続けて入る</v>
      </c>
      <c r="C27" s="131"/>
      <c r="D27" s="131"/>
      <c r="E27" s="152">
        <f>COUNTIF(入力!$U$18:$U$6553,1)</f>
        <v>1</v>
      </c>
      <c r="F27" s="131">
        <f>COUNTIF(入力!$U$18:$U$6553,2)</f>
        <v>0</v>
      </c>
      <c r="G27" s="131">
        <f>COUNTIF(入力!$U$18:$U$6553,3)</f>
        <v>0</v>
      </c>
      <c r="H27" s="159">
        <f>COUNTIF(入力!$U$18:$U$6553,4)</f>
        <v>0</v>
      </c>
      <c r="I27" s="153">
        <f>IF(初期設定!$C$19=初期設定!$E$19,IF(初期設定!F34=1,IF(SUM(E27:H27)=0,"",((E27*2+H27*2)+F27)/SUM(E27:H27)*100/2),IF(SUM(E27:G27)=0,"",(E27*2+F27)/SUM(E27:G27)*100/2)),IF(SUM(E27:H27)=0,"",(E27*3+F27*2+G27)/SUM(E27:H27)*100/3))</f>
        <v>100</v>
      </c>
      <c r="J27" s="148" t="str">
        <f>IF(初期設定!$D34=集計レポート!J$15,集計レポート!$I27,"")</f>
        <v/>
      </c>
      <c r="K27" s="148" t="str">
        <f>IF(初期設定!$D34=集計レポート!K$15,集計レポート!$I27,"")</f>
        <v/>
      </c>
      <c r="L27" s="148">
        <f>IF(初期設定!$D34=集計レポート!L$15,集計レポート!$I27,"")</f>
        <v>100</v>
      </c>
      <c r="M27" s="148" t="str">
        <f>IF(初期設定!$D34=集計レポート!M$15,集計レポート!$I27,"")</f>
        <v/>
      </c>
      <c r="N27" s="148" t="str">
        <f>IF(初期設定!$D34=集計レポート!N$15,集計レポート!$I27,"")</f>
        <v/>
      </c>
    </row>
    <row r="28" spans="1:14">
      <c r="A28" s="152"/>
      <c r="B28" s="131" t="str">
        <f>印刷用記入シート!A21</f>
        <v>(13)お風呂の残り湯を、洗濯や庭の水やりに利用する</v>
      </c>
      <c r="C28" s="131"/>
      <c r="D28" s="131"/>
      <c r="E28" s="152">
        <f>COUNTIF(入力!$V$18:$V$6553,1)</f>
        <v>1</v>
      </c>
      <c r="F28" s="131">
        <f>COUNTIF(入力!$V$18:$V$6553,2)</f>
        <v>0</v>
      </c>
      <c r="G28" s="131">
        <f>COUNTIF(入力!$V$18:$V$6553,3)</f>
        <v>0</v>
      </c>
      <c r="H28" s="159">
        <f>COUNTIF(入力!$V$18:$V$6553,4)</f>
        <v>0</v>
      </c>
      <c r="I28" s="153">
        <f>IF(初期設定!$C$19=初期設定!$E$19,IF(初期設定!F35=1,IF(SUM(E28:H28)=0,"",((E28*2+H28*2)+F28)/SUM(E28:H28)*100/2),IF(SUM(E28:G28)=0,"",(E28*2+F28)/SUM(E28:G28)*100/2)),IF(SUM(E28:H28)=0,"",(E28*3+F28*2+G28)/SUM(E28:H28)*100/3))</f>
        <v>100</v>
      </c>
      <c r="J28" s="148" t="str">
        <f>IF(初期設定!$D35=集計レポート!J$15,集計レポート!$I28,"")</f>
        <v/>
      </c>
      <c r="K28" s="148" t="str">
        <f>IF(初期設定!$D35=集計レポート!K$15,集計レポート!$I28,"")</f>
        <v/>
      </c>
      <c r="L28" s="148">
        <f>IF(初期設定!$D35=集計レポート!L$15,集計レポート!$I28,"")</f>
        <v>100</v>
      </c>
      <c r="M28" s="148" t="str">
        <f>IF(初期設定!$D35=集計レポート!M$15,集計レポート!$I28,"")</f>
        <v/>
      </c>
      <c r="N28" s="148" t="str">
        <f>IF(初期設定!$D35=集計レポート!N$15,集計レポート!$I28,"")</f>
        <v/>
      </c>
    </row>
    <row r="29" spans="1:14">
      <c r="A29" s="152"/>
      <c r="B29" s="131" t="str">
        <f>印刷用記入シート!A22</f>
        <v>(14)掃除機をかける前に、まず部屋を片づける</v>
      </c>
      <c r="C29" s="131"/>
      <c r="D29" s="131"/>
      <c r="E29" s="152">
        <f>COUNTIF(入力!$W$18:$W$6553,1)</f>
        <v>1</v>
      </c>
      <c r="F29" s="131">
        <f>COUNTIF(入力!$W$18:$W$6553,2)</f>
        <v>0</v>
      </c>
      <c r="G29" s="131">
        <f>COUNTIF(入力!$W$18:$W$6553,3)</f>
        <v>0</v>
      </c>
      <c r="H29" s="159">
        <f>COUNTIF(入力!$W$18:$W$6553,4)</f>
        <v>0</v>
      </c>
      <c r="I29" s="153">
        <f>IF(初期設定!$C$19=初期設定!$E$19,IF(初期設定!F36=1,IF(SUM(E29:H29)=0,"",((E29*2+H29*2)+F29)/SUM(E29:H29)*100/2),IF(SUM(E29:G29)=0,"",(E29*2+F29)/SUM(E29:G29)*100/2)),IF(SUM(E29:H29)=0,"",(E29*3+F29*2+G29)/SUM(E29:H29)*100/3))</f>
        <v>100</v>
      </c>
      <c r="J29" s="148" t="str">
        <f>IF(初期設定!$D36=集計レポート!J$15,集計レポート!$I29,"")</f>
        <v/>
      </c>
      <c r="K29" s="148" t="str">
        <f>IF(初期設定!$D36=集計レポート!K$15,集計レポート!$I29,"")</f>
        <v/>
      </c>
      <c r="L29" s="148" t="str">
        <f>IF(初期設定!$D36=集計レポート!L$15,集計レポート!$I29,"")</f>
        <v/>
      </c>
      <c r="M29" s="148">
        <f>IF(初期設定!$D36=集計レポート!M$15,集計レポート!$I29,"")</f>
        <v>100</v>
      </c>
      <c r="N29" s="148" t="str">
        <f>IF(初期設定!$D36=集計レポート!N$15,集計レポート!$I29,"")</f>
        <v/>
      </c>
    </row>
    <row r="30" spans="1:14">
      <c r="A30" s="152"/>
      <c r="B30" s="131" t="str">
        <f>印刷用記入シート!A23</f>
        <v>(15)洗濯は量をまとめて行い、洗濯回数を減らすようにする</v>
      </c>
      <c r="C30" s="131"/>
      <c r="D30" s="131"/>
      <c r="E30" s="152">
        <f>COUNTIF(入力!$X$18:$X$6553,1)</f>
        <v>1</v>
      </c>
      <c r="F30" s="131">
        <f>COUNTIF(入力!$X$18:$X$6553,2)</f>
        <v>0</v>
      </c>
      <c r="G30" s="131">
        <f>COUNTIF(入力!$X$18:$X$6553,3)</f>
        <v>0</v>
      </c>
      <c r="H30" s="159">
        <f>COUNTIF(入力!$X$18:$X$6553,4)</f>
        <v>0</v>
      </c>
      <c r="I30" s="153">
        <f>IF(初期設定!$C$19=初期設定!$E$19,IF(初期設定!F37=1,IF(SUM(E30:H30)=0,"",((E30*2+H30*2)+F30)/SUM(E30:H30)*100/2),IF(SUM(E30:G30)=0,"",(E30*2+F30)/SUM(E30:G30)*100/2)),IF(SUM(E30:H30)=0,"",(E30*3+F30*2+G30)/SUM(E30:H30)*100/3))</f>
        <v>100</v>
      </c>
      <c r="J30" s="148" t="str">
        <f>IF(初期設定!$D37=集計レポート!J$15,集計レポート!$I30,"")</f>
        <v/>
      </c>
      <c r="K30" s="148" t="str">
        <f>IF(初期設定!$D37=集計レポート!K$15,集計レポート!$I30,"")</f>
        <v/>
      </c>
      <c r="L30" s="148" t="str">
        <f>IF(初期設定!$D37=集計レポート!L$15,集計レポート!$I30,"")</f>
        <v/>
      </c>
      <c r="M30" s="148">
        <f>IF(初期設定!$D37=集計レポート!M$15,集計レポート!$I30,"")</f>
        <v>100</v>
      </c>
      <c r="N30" s="148" t="str">
        <f>IF(初期設定!$D37=集計レポート!N$15,集計レポート!$I30,"")</f>
        <v/>
      </c>
    </row>
    <row r="31" spans="1:14">
      <c r="A31" s="152"/>
      <c r="B31" s="131" t="str">
        <f>印刷用記入シート!A24</f>
        <v>(16)洗剤を適量確認して使用する</v>
      </c>
      <c r="C31" s="131"/>
      <c r="D31" s="131"/>
      <c r="E31" s="152">
        <f>COUNTIF(入力!$Y$18:$Y$6553,1)</f>
        <v>1</v>
      </c>
      <c r="F31" s="131">
        <f>COUNTIF(入力!$Y$18:$Y$6553,2)</f>
        <v>0</v>
      </c>
      <c r="G31" s="131">
        <f>COUNTIF(入力!$Y$18:$Y$6553,3)</f>
        <v>0</v>
      </c>
      <c r="H31" s="159">
        <f>COUNTIF(入力!$Y$18:$Y$6553,4)</f>
        <v>0</v>
      </c>
      <c r="I31" s="153">
        <f>IF(初期設定!$C$19=初期設定!$E$19,IF(初期設定!F38=1,IF(SUM(E31:H31)=0,"",((E31*2+H31*2)+F31)/SUM(E31:H31)*100/2),IF(SUM(E31:G31)=0,"",(E31*2+F31)/SUM(E31:G31)*100/2)),IF(SUM(E31:H31)=0,"",(E31*3+F31*2+G31)/SUM(E31:H31)*100/3))</f>
        <v>100</v>
      </c>
      <c r="J31" s="148" t="str">
        <f>IF(初期設定!$D38=集計レポート!J$15,集計レポート!$I31,"")</f>
        <v/>
      </c>
      <c r="K31" s="148" t="str">
        <f>IF(初期設定!$D38=集計レポート!K$15,集計レポート!$I31,"")</f>
        <v/>
      </c>
      <c r="L31" s="148" t="str">
        <f>IF(初期設定!$D38=集計レポート!L$15,集計レポート!$I31,"")</f>
        <v/>
      </c>
      <c r="M31" s="148">
        <f>IF(初期設定!$D38=集計レポート!M$15,集計レポート!$I31,"")</f>
        <v>100</v>
      </c>
      <c r="N31" s="148" t="str">
        <f>IF(初期設定!$D38=集計レポート!N$15,集計レポート!$I31,"")</f>
        <v/>
      </c>
    </row>
    <row r="32" spans="1:14">
      <c r="A32" s="152"/>
      <c r="B32" s="131" t="str">
        <f>印刷用記入シート!A25</f>
        <v>(17)買い物のときは買い物袋を持参する</v>
      </c>
      <c r="C32" s="131"/>
      <c r="D32" s="131"/>
      <c r="E32" s="152">
        <f>COUNTIF(入力!$Z$18:$Z$6553,1)</f>
        <v>1</v>
      </c>
      <c r="F32" s="131">
        <f>COUNTIF(入力!$Z$18:$Z$6553,2)</f>
        <v>0</v>
      </c>
      <c r="G32" s="131">
        <f>COUNTIF(入力!$Z$18:$Z$6553,3)</f>
        <v>0</v>
      </c>
      <c r="H32" s="159">
        <f>COUNTIF(入力!$Z$18:$Z$6553,4)</f>
        <v>0</v>
      </c>
      <c r="I32" s="153">
        <f>IF(初期設定!$C$19=初期設定!$E$19,IF(初期設定!F39=1,IF(SUM(E32:H32)=0,"",((E32*2+H32*2)+F32)/SUM(E32:H32)*100/2),IF(SUM(E32:G32)=0,"",(E32*2+F32)/SUM(E32:G32)*100/2)),IF(SUM(E32:H32)=0,"",(E32*3+F32*2+G32)/SUM(E32:H32)*100/3))</f>
        <v>100</v>
      </c>
      <c r="J32" s="148" t="str">
        <f>IF(初期設定!$D39=集計レポート!J$15,集計レポート!$I32,"")</f>
        <v/>
      </c>
      <c r="K32" s="148" t="str">
        <f>IF(初期設定!$D39=集計レポート!K$15,集計レポート!$I32,"")</f>
        <v/>
      </c>
      <c r="L32" s="148" t="str">
        <f>IF(初期設定!$D39=集計レポート!L$15,集計レポート!$I32,"")</f>
        <v/>
      </c>
      <c r="M32" s="148" t="str">
        <f>IF(初期設定!$D39=集計レポート!M$15,集計レポート!$I32,"")</f>
        <v/>
      </c>
      <c r="N32" s="148">
        <f>IF(初期設定!$D39=集計レポート!N$15,集計レポート!$I32,"")</f>
        <v>100</v>
      </c>
    </row>
    <row r="33" spans="1:14">
      <c r="A33" s="152"/>
      <c r="B33" s="131" t="str">
        <f>印刷用記入シート!A26</f>
        <v>(18)エコマーク商品など環境にいい商品を意識的に選んで購入する</v>
      </c>
      <c r="C33" s="131"/>
      <c r="D33" s="131"/>
      <c r="E33" s="152">
        <f>COUNTIF(入力!$AA$18:$AA$6553,1)</f>
        <v>0</v>
      </c>
      <c r="F33" s="131">
        <f>COUNTIF(入力!$AA$18:$AA$6553,2)</f>
        <v>1</v>
      </c>
      <c r="G33" s="131">
        <f>COUNTIF(入力!$AA$18:$AA$6553,3)</f>
        <v>0</v>
      </c>
      <c r="H33" s="159">
        <f>COUNTIF(入力!$AA$18:$AA$6553,4)</f>
        <v>0</v>
      </c>
      <c r="I33" s="153">
        <f>IF(初期設定!$C$19=初期設定!$E$19,IF(初期設定!F40=1,IF(SUM(E33:H33)=0,"",((E33*2+H33*2)+F33)/SUM(E33:H33)*100/2),IF(SUM(E33:G33)=0,"",(E33*2+F33)/SUM(E33:G33)*100/2)),IF(SUM(E33:H33)=0,"",(E33*3+F33*2+G33)/SUM(E33:H33)*100/3))</f>
        <v>50</v>
      </c>
      <c r="J33" s="148" t="str">
        <f>IF(初期設定!$D40=集計レポート!J$15,集計レポート!$I33,"")</f>
        <v/>
      </c>
      <c r="K33" s="148" t="str">
        <f>IF(初期設定!$D40=集計レポート!K$15,集計レポート!$I33,"")</f>
        <v/>
      </c>
      <c r="L33" s="148" t="str">
        <f>IF(初期設定!$D40=集計レポート!L$15,集計レポート!$I33,"")</f>
        <v/>
      </c>
      <c r="M33" s="148" t="str">
        <f>IF(初期設定!$D40=集計レポート!M$15,集計レポート!$I33,"")</f>
        <v/>
      </c>
      <c r="N33" s="148">
        <f>IF(初期設定!$D40=集計レポート!N$15,集計レポート!$I33,"")</f>
        <v>50</v>
      </c>
    </row>
    <row r="34" spans="1:14">
      <c r="A34" s="152"/>
      <c r="B34" s="131" t="str">
        <f>印刷用記入シート!A27</f>
        <v>(19)リサイクルや、各自治体の分別収集のルールを守る</v>
      </c>
      <c r="C34" s="131"/>
      <c r="D34" s="131"/>
      <c r="E34" s="152">
        <f>COUNTIF(入力!$AB$18:$AB$6553,1)</f>
        <v>1</v>
      </c>
      <c r="F34" s="131">
        <f>COUNTIF(入力!$AB$18:$AB$6553,2)</f>
        <v>0</v>
      </c>
      <c r="G34" s="131">
        <f>COUNTIF(入力!$AB$18:$AB$6553,3)</f>
        <v>0</v>
      </c>
      <c r="H34" s="159">
        <f>COUNTIF(入力!$AB$18:$AB$6553,4)</f>
        <v>0</v>
      </c>
      <c r="I34" s="153">
        <f>IF(初期設定!$C$19=初期設定!$E$19,IF(初期設定!F41=1,IF(SUM(E34:H34)=0,"",((E34*2+H34*2)+F34)/SUM(E34:H34)*100/2),IF(SUM(E34:G34)=0,"",(E34*2+F34)/SUM(E34:G34)*100/2)),IF(SUM(E34:H34)=0,"",(E34*3+F34*2+G34)/SUM(E34:H34)*100/3))</f>
        <v>100</v>
      </c>
      <c r="J34" s="148" t="str">
        <f>IF(初期設定!$D41=集計レポート!J$15,集計レポート!$I34,"")</f>
        <v/>
      </c>
      <c r="K34" s="148" t="str">
        <f>IF(初期設定!$D41=集計レポート!K$15,集計レポート!$I34,"")</f>
        <v/>
      </c>
      <c r="L34" s="148" t="str">
        <f>IF(初期設定!$D41=集計レポート!L$15,集計レポート!$I34,"")</f>
        <v/>
      </c>
      <c r="M34" s="148" t="str">
        <f>IF(初期設定!$D41=集計レポート!M$15,集計レポート!$I34,"")</f>
        <v/>
      </c>
      <c r="N34" s="148">
        <f>IF(初期設定!$D41=集計レポート!N$15,集計レポート!$I34,"")</f>
        <v>100</v>
      </c>
    </row>
    <row r="35" spans="1:14">
      <c r="A35" s="152"/>
      <c r="B35" s="131" t="str">
        <f>印刷用記入シート!A28</f>
        <v>(20)近い所へは徒歩や自転車を使い、自動車の使用はひかえる</v>
      </c>
      <c r="C35" s="131"/>
      <c r="D35" s="131"/>
      <c r="E35" s="152">
        <f>COUNTIF(入力!$AC$18:$AC$6553,1)</f>
        <v>0</v>
      </c>
      <c r="F35" s="131">
        <f>COUNTIF(入力!$AC$18:$AC$6553,2)</f>
        <v>1</v>
      </c>
      <c r="G35" s="131">
        <f>COUNTIF(入力!$AC$18:$AC$6553,3)</f>
        <v>0</v>
      </c>
      <c r="H35" s="159">
        <f>COUNTIF(入力!$AC$18:$AC$6553,4)</f>
        <v>0</v>
      </c>
      <c r="I35" s="153">
        <f>IF(初期設定!$C$19=初期設定!$E$19,IF(初期設定!F42=1,IF(SUM(E35:H35)=0,"",((E35*2+H35*2)+F35)/SUM(E35:H35)*100/2),IF(SUM(E35:G35)=0,"",(E35*2+F35)/SUM(E35:G35)*100/2)),IF(SUM(E35:H35)=0,"",(E35*3+F35*2+G35)/SUM(E35:H35)*100/3))</f>
        <v>50</v>
      </c>
      <c r="J35" s="148" t="str">
        <f>IF(初期設定!$D42=集計レポート!J$15,集計レポート!$I35,"")</f>
        <v/>
      </c>
      <c r="K35" s="148" t="str">
        <f>IF(初期設定!$D42=集計レポート!K$15,集計レポート!$I35,"")</f>
        <v/>
      </c>
      <c r="L35" s="148" t="str">
        <f>IF(初期設定!$D42=集計レポート!L$15,集計レポート!$I35,"")</f>
        <v/>
      </c>
      <c r="M35" s="148" t="str">
        <f>IF(初期設定!$D42=集計レポート!M$15,集計レポート!$I35,"")</f>
        <v/>
      </c>
      <c r="N35" s="148">
        <f>IF(初期設定!$D42=集計レポート!N$15,集計レポート!$I35,"")</f>
        <v>50</v>
      </c>
    </row>
    <row r="36" spans="1:14">
      <c r="A36" s="149">
        <v>1</v>
      </c>
      <c r="B36" s="150" t="str">
        <f>初期設定!C9</f>
        <v>台所</v>
      </c>
      <c r="C36" s="150"/>
      <c r="D36" s="150"/>
      <c r="E36" s="149"/>
      <c r="F36" s="150"/>
      <c r="G36" s="150"/>
      <c r="H36" s="151"/>
      <c r="I36" s="158">
        <f>J36</f>
        <v>75</v>
      </c>
      <c r="J36" s="148">
        <f>IF(SUM(J16:J35)=0,0,AVERAGE(J16:J35))</f>
        <v>75</v>
      </c>
      <c r="K36" s="148">
        <f>IF(SUM(K16:K35)=0,0,AVERAGE(K16:K35))</f>
        <v>90</v>
      </c>
      <c r="L36" s="148">
        <f>IF(SUM(L16:L35)=0,0,AVERAGE(L16:L35))</f>
        <v>83.333333333333329</v>
      </c>
      <c r="M36" s="148">
        <f>IF(SUM(M16:M35)=0,0,AVERAGE(M16:M35))</f>
        <v>100</v>
      </c>
      <c r="N36" s="148">
        <f>IF(SUM(N16:N35)=0,0,AVERAGE(N16:N35))</f>
        <v>75</v>
      </c>
    </row>
    <row r="37" spans="1:14">
      <c r="A37" s="152">
        <v>2</v>
      </c>
      <c r="B37" s="131" t="str">
        <f>初期設定!C10</f>
        <v>部屋・生活</v>
      </c>
      <c r="C37" s="131"/>
      <c r="D37" s="131"/>
      <c r="E37" s="152"/>
      <c r="F37" s="131"/>
      <c r="G37" s="131"/>
      <c r="H37" s="159"/>
      <c r="I37" s="154">
        <f>K36</f>
        <v>90</v>
      </c>
    </row>
    <row r="38" spans="1:14">
      <c r="A38" s="152">
        <v>3</v>
      </c>
      <c r="B38" s="131" t="str">
        <f>初期設定!C11</f>
        <v>風呂・洗面</v>
      </c>
      <c r="C38" s="131"/>
      <c r="D38" s="131"/>
      <c r="E38" s="152"/>
      <c r="F38" s="131"/>
      <c r="G38" s="131"/>
      <c r="H38" s="159"/>
      <c r="I38" s="154">
        <f>L36</f>
        <v>83.333333333333329</v>
      </c>
    </row>
    <row r="39" spans="1:14">
      <c r="A39" s="152">
        <v>4</v>
      </c>
      <c r="B39" s="131" t="str">
        <f>初期設定!C12</f>
        <v>掃除洗濯</v>
      </c>
      <c r="C39" s="131"/>
      <c r="D39" s="131"/>
      <c r="E39" s="152"/>
      <c r="F39" s="131"/>
      <c r="G39" s="131"/>
      <c r="H39" s="159"/>
      <c r="I39" s="154">
        <f>M36</f>
        <v>100</v>
      </c>
    </row>
    <row r="40" spans="1:14">
      <c r="A40" s="155">
        <v>5</v>
      </c>
      <c r="B40" s="156" t="str">
        <f>初期設定!C13</f>
        <v>買い物・外出</v>
      </c>
      <c r="C40" s="156"/>
      <c r="D40" s="156"/>
      <c r="E40" s="155"/>
      <c r="F40" s="156"/>
      <c r="G40" s="156"/>
      <c r="H40" s="160"/>
      <c r="I40" s="157">
        <f>N36</f>
        <v>75</v>
      </c>
    </row>
    <row r="42" spans="1:14">
      <c r="A42" t="s">
        <v>278</v>
      </c>
    </row>
    <row r="43" spans="1:14" ht="27">
      <c r="B43" s="169"/>
      <c r="C43" s="170" t="s">
        <v>277</v>
      </c>
      <c r="D43" s="163" t="s">
        <v>268</v>
      </c>
      <c r="E43" s="163" t="s">
        <v>269</v>
      </c>
      <c r="F43" s="163" t="s">
        <v>270</v>
      </c>
      <c r="G43" s="163" t="s">
        <v>271</v>
      </c>
      <c r="H43" s="163" t="s">
        <v>272</v>
      </c>
      <c r="I43" s="164" t="s">
        <v>273</v>
      </c>
    </row>
    <row r="44" spans="1:14">
      <c r="B44" s="155" t="s">
        <v>279</v>
      </c>
      <c r="C44" s="171">
        <f>COUNT(入力!H18:H6553)</f>
        <v>1</v>
      </c>
      <c r="D44" s="156">
        <f>入力!H7</f>
        <v>0</v>
      </c>
      <c r="E44" s="156">
        <f>入力!H8</f>
        <v>0</v>
      </c>
      <c r="F44" s="156">
        <f>入力!H9</f>
        <v>0</v>
      </c>
      <c r="G44" s="156">
        <f>入力!H10</f>
        <v>1</v>
      </c>
      <c r="H44" s="156">
        <f>入力!H11</f>
        <v>0</v>
      </c>
      <c r="I44" s="160">
        <f>COUNTIF(入力!H18:H6553,"&gt;=6")</f>
        <v>0</v>
      </c>
    </row>
    <row r="46" spans="1:14">
      <c r="A46" t="s">
        <v>320</v>
      </c>
      <c r="C46" s="170" t="s">
        <v>322</v>
      </c>
      <c r="D46" s="170">
        <f>入力!AD7</f>
        <v>0</v>
      </c>
    </row>
    <row r="47" spans="1:14">
      <c r="C47" s="170" t="s">
        <v>323</v>
      </c>
      <c r="D47" s="170">
        <f>C44-D46</f>
        <v>1</v>
      </c>
    </row>
    <row r="49" spans="1:4">
      <c r="A49" t="s">
        <v>321</v>
      </c>
      <c r="C49" s="170" t="s">
        <v>294</v>
      </c>
      <c r="D49" s="170">
        <f>入力!AE7</f>
        <v>0</v>
      </c>
    </row>
    <row r="50" spans="1:4">
      <c r="C50" s="170" t="s">
        <v>295</v>
      </c>
      <c r="D50" s="170">
        <f>入力!AE8</f>
        <v>1</v>
      </c>
    </row>
  </sheetData>
  <mergeCells count="1">
    <mergeCell ref="G1:H1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使い方</vt:lpstr>
      <vt:lpstr>初期設定</vt:lpstr>
      <vt:lpstr>印刷用記入シート</vt:lpstr>
      <vt:lpstr>入力</vt:lpstr>
      <vt:lpstr>診断計算</vt:lpstr>
      <vt:lpstr>診断書</vt:lpstr>
      <vt:lpstr>集計レポート</vt:lpstr>
      <vt:lpstr>診断書!Print_Area</vt:lpstr>
    </vt:vector>
  </TitlesOfParts>
  <Company>（有）ひのでやエコライフ研究所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鈴木靖文</dc:creator>
  <cp:lastModifiedBy>suzuki</cp:lastModifiedBy>
  <cp:lastPrinted>2019-05-13T03:12:27Z</cp:lastPrinted>
  <dcterms:created xsi:type="dcterms:W3CDTF">2006-04-20T07:19:09Z</dcterms:created>
  <dcterms:modified xsi:type="dcterms:W3CDTF">2019-09-20T10:17:58Z</dcterms:modified>
</cp:coreProperties>
</file>